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iotrowskilab/MAL Mark Lush/Illustrator files fgf3 paper/Data Files/"/>
    </mc:Choice>
  </mc:AlternateContent>
  <xr:revisionPtr revIDLastSave="0" documentId="13_ncr:1_{5E507869-CDA9-2F4B-BF47-7A37082D83DE}" xr6:coauthVersionLast="34" xr6:coauthVersionMax="34" xr10:uidLastSave="{00000000-0000-0000-0000-000000000000}"/>
  <bookViews>
    <workbookView xWindow="17520" yWindow="440" windowWidth="25600" windowHeight="28360" xr2:uid="{00000000-000D-0000-FFFF-FFFF00000000}"/>
  </bookViews>
  <sheets>
    <sheet name="README" sheetId="38" r:id="rId1"/>
    <sheet name="node16_vs_node17" sheetId="7" r:id="rId2"/>
    <sheet name="node17_vs_node16" sheetId="8" r:id="rId3"/>
    <sheet name="cluster1_vs_cluster2" sheetId="10" r:id="rId4"/>
    <sheet name="cluster2_vs_cluster1" sheetId="37" r:id="rId5"/>
    <sheet name="node18_vs_node19" sheetId="12" r:id="rId6"/>
    <sheet name="node19_vs_node18" sheetId="13" r:id="rId7"/>
    <sheet name="cluster5_vs_cluster6" sheetId="14" r:id="rId8"/>
    <sheet name="cluster6_vs_cluster5" sheetId="15" r:id="rId9"/>
    <sheet name="node20_vs_node21" sheetId="16" r:id="rId10"/>
    <sheet name="node21_vs_node20" sheetId="17" r:id="rId11"/>
    <sheet name="node22_vs_node23" sheetId="18" r:id="rId12"/>
    <sheet name="node23_vs_node22" sheetId="19" r:id="rId13"/>
    <sheet name="cluster3_vs_cluster4" sheetId="20" r:id="rId14"/>
    <sheet name="cluster4_vs_cluster3" sheetId="21" r:id="rId15"/>
    <sheet name="cluster7_vs_node25" sheetId="22" r:id="rId16"/>
    <sheet name="node25_vs_cluster7" sheetId="23" r:id="rId17"/>
    <sheet name="cluster13_vs_node24" sheetId="24" r:id="rId18"/>
    <sheet name="node24_vs_cluster13" sheetId="25" r:id="rId19"/>
    <sheet name="cluster12_vs_node27" sheetId="28" r:id="rId20"/>
    <sheet name="node27_vs_cluster12" sheetId="29" r:id="rId21"/>
    <sheet name="cluster14_vs_node26" sheetId="31" r:id="rId22"/>
    <sheet name="node26_vs_cluster14" sheetId="32" r:id="rId23"/>
    <sheet name="cluster8_vs_cluster9" sheetId="33" r:id="rId24"/>
    <sheet name="cluster9_vs_cluster8" sheetId="34" r:id="rId25"/>
    <sheet name="cluster10_vs_cluster11" sheetId="35" r:id="rId26"/>
    <sheet name="cluster11_vs_cluster10" sheetId="36" r:id="rId27"/>
  </sheets>
  <calcPr calcId="179017"/>
</workbook>
</file>

<file path=xl/calcChain.xml><?xml version="1.0" encoding="utf-8"?>
<calcChain xmlns="http://schemas.openxmlformats.org/spreadsheetml/2006/main">
  <c r="D2" i="37" l="1"/>
  <c r="D3" i="37"/>
  <c r="D4" i="37"/>
  <c r="D5" i="37"/>
  <c r="D6" i="37"/>
  <c r="D7" i="37"/>
  <c r="D8" i="37"/>
  <c r="D9" i="37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28" i="37"/>
  <c r="D29" i="37"/>
  <c r="D30" i="37"/>
  <c r="D31" i="37"/>
  <c r="D32" i="37"/>
  <c r="D33" i="37"/>
  <c r="D34" i="37"/>
  <c r="D35" i="37"/>
  <c r="D36" i="37"/>
  <c r="D37" i="37"/>
  <c r="D38" i="37"/>
  <c r="D39" i="37"/>
  <c r="D40" i="37"/>
  <c r="D41" i="37"/>
  <c r="D42" i="37"/>
  <c r="D43" i="37"/>
  <c r="D44" i="37"/>
  <c r="D45" i="37"/>
  <c r="D46" i="37"/>
  <c r="D47" i="37"/>
  <c r="D48" i="37"/>
  <c r="D49" i="37"/>
  <c r="D50" i="37"/>
  <c r="D51" i="37"/>
  <c r="D52" i="37"/>
  <c r="D53" i="37"/>
  <c r="D54" i="37"/>
  <c r="D55" i="37"/>
  <c r="D56" i="37"/>
  <c r="D57" i="37"/>
  <c r="D58" i="37"/>
  <c r="D59" i="37"/>
  <c r="D60" i="37"/>
  <c r="D61" i="37"/>
  <c r="D62" i="37"/>
  <c r="D63" i="37"/>
  <c r="D64" i="37"/>
  <c r="D65" i="37"/>
  <c r="D66" i="37"/>
  <c r="D67" i="37"/>
  <c r="D68" i="37"/>
  <c r="D69" i="37"/>
  <c r="D70" i="37"/>
  <c r="D71" i="37"/>
  <c r="D72" i="37"/>
  <c r="D73" i="37"/>
  <c r="D74" i="37"/>
  <c r="D75" i="37"/>
  <c r="D76" i="37"/>
  <c r="D77" i="37"/>
  <c r="D78" i="37"/>
  <c r="D79" i="37"/>
  <c r="D80" i="37"/>
  <c r="D81" i="37"/>
  <c r="D82" i="37"/>
  <c r="D83" i="37"/>
  <c r="D84" i="37"/>
  <c r="D85" i="37"/>
  <c r="D86" i="37"/>
  <c r="D87" i="37"/>
  <c r="D88" i="37"/>
  <c r="D89" i="37"/>
  <c r="D90" i="37"/>
  <c r="D91" i="37"/>
  <c r="D92" i="37"/>
  <c r="D93" i="37"/>
  <c r="D94" i="37"/>
  <c r="D95" i="37"/>
  <c r="D96" i="37"/>
  <c r="D97" i="37"/>
  <c r="D98" i="37"/>
  <c r="D99" i="37"/>
  <c r="D100" i="37"/>
  <c r="D101" i="37"/>
  <c r="D102" i="37"/>
  <c r="D103" i="37"/>
  <c r="D104" i="37"/>
  <c r="D105" i="37"/>
  <c r="D106" i="37"/>
  <c r="D107" i="37"/>
  <c r="D108" i="37"/>
  <c r="D109" i="37"/>
  <c r="D110" i="37"/>
  <c r="D111" i="37"/>
  <c r="D112" i="37"/>
  <c r="D113" i="37"/>
  <c r="D114" i="37"/>
  <c r="D115" i="37"/>
  <c r="D116" i="37"/>
  <c r="D117" i="37"/>
  <c r="D118" i="37"/>
  <c r="D119" i="37"/>
  <c r="D120" i="37"/>
  <c r="D121" i="37"/>
  <c r="D122" i="37"/>
  <c r="D123" i="37"/>
  <c r="D124" i="37"/>
  <c r="D125" i="37"/>
  <c r="D126" i="37"/>
  <c r="D127" i="37"/>
  <c r="D128" i="37"/>
  <c r="D129" i="37"/>
  <c r="D130" i="37"/>
  <c r="D131" i="37"/>
  <c r="D132" i="37"/>
  <c r="D133" i="37"/>
  <c r="D134" i="37"/>
  <c r="D135" i="37"/>
  <c r="D136" i="37"/>
  <c r="D137" i="37"/>
  <c r="D138" i="37"/>
  <c r="D139" i="37"/>
  <c r="D140" i="37"/>
  <c r="D141" i="37"/>
  <c r="D142" i="37"/>
  <c r="D143" i="37"/>
  <c r="D144" i="37"/>
  <c r="D145" i="37"/>
  <c r="D146" i="37"/>
  <c r="D147" i="37"/>
  <c r="D148" i="37"/>
  <c r="D149" i="37"/>
  <c r="D150" i="37"/>
  <c r="D151" i="37"/>
  <c r="D152" i="37"/>
  <c r="D153" i="37"/>
  <c r="D154" i="37"/>
  <c r="D155" i="37"/>
  <c r="D156" i="37"/>
  <c r="D157" i="37"/>
  <c r="D158" i="37"/>
  <c r="D159" i="37"/>
  <c r="D160" i="37"/>
  <c r="D161" i="37"/>
  <c r="D162" i="37"/>
  <c r="D163" i="37"/>
  <c r="D164" i="37"/>
  <c r="D165" i="37"/>
  <c r="D166" i="37"/>
  <c r="D167" i="37"/>
  <c r="D168" i="37"/>
  <c r="D169" i="37"/>
  <c r="D170" i="37"/>
  <c r="D171" i="37"/>
  <c r="D172" i="37"/>
  <c r="D173" i="37"/>
  <c r="D174" i="37"/>
  <c r="D175" i="37"/>
  <c r="D176" i="37"/>
  <c r="D177" i="37"/>
  <c r="D178" i="37"/>
  <c r="D179" i="37"/>
  <c r="D180" i="37"/>
  <c r="D181" i="37"/>
  <c r="D182" i="37"/>
  <c r="D183" i="37"/>
  <c r="D184" i="37"/>
  <c r="D185" i="37"/>
  <c r="D186" i="37"/>
  <c r="D187" i="37"/>
  <c r="D188" i="37"/>
  <c r="D189" i="37"/>
  <c r="D190" i="37"/>
  <c r="D191" i="37"/>
  <c r="D192" i="37"/>
  <c r="D193" i="37"/>
  <c r="D194" i="37"/>
  <c r="D195" i="37"/>
  <c r="D196" i="37"/>
  <c r="D197" i="37"/>
  <c r="D198" i="37"/>
  <c r="D199" i="37"/>
  <c r="D200" i="37"/>
  <c r="D201" i="37"/>
  <c r="D202" i="37"/>
  <c r="D203" i="37"/>
  <c r="D204" i="37"/>
  <c r="D205" i="37"/>
  <c r="D206" i="37"/>
  <c r="D207" i="37"/>
  <c r="D208" i="37"/>
  <c r="D209" i="37"/>
  <c r="D210" i="37"/>
  <c r="D211" i="37"/>
  <c r="D212" i="37"/>
  <c r="D213" i="37"/>
  <c r="D214" i="37"/>
  <c r="D215" i="37"/>
  <c r="D216" i="37"/>
  <c r="D217" i="37"/>
  <c r="D218" i="37"/>
  <c r="D219" i="37"/>
  <c r="D220" i="37"/>
  <c r="D221" i="37"/>
  <c r="D222" i="37"/>
  <c r="D223" i="37"/>
  <c r="D224" i="37"/>
  <c r="D225" i="37"/>
  <c r="D226" i="37"/>
  <c r="D227" i="37"/>
  <c r="D228" i="37"/>
  <c r="D229" i="37"/>
  <c r="D230" i="37"/>
  <c r="D231" i="37"/>
  <c r="D232" i="37"/>
  <c r="D233" i="37"/>
  <c r="D234" i="37"/>
  <c r="D235" i="37"/>
  <c r="D236" i="37"/>
  <c r="D237" i="37"/>
  <c r="D238" i="37"/>
  <c r="D239" i="37"/>
  <c r="D240" i="37"/>
  <c r="D241" i="37"/>
  <c r="D242" i="37"/>
  <c r="D243" i="37"/>
  <c r="D244" i="37"/>
  <c r="D245" i="37"/>
  <c r="D246" i="37"/>
  <c r="D247" i="37"/>
  <c r="D248" i="37"/>
  <c r="D249" i="37"/>
  <c r="D250" i="37"/>
  <c r="D251" i="37"/>
  <c r="D252" i="37"/>
  <c r="D253" i="37"/>
  <c r="D254" i="37"/>
  <c r="D255" i="37"/>
  <c r="D256" i="37"/>
  <c r="D257" i="37"/>
  <c r="D258" i="37"/>
  <c r="D259" i="37"/>
  <c r="D260" i="37"/>
  <c r="D261" i="37"/>
  <c r="D262" i="37"/>
  <c r="D263" i="37"/>
  <c r="D264" i="37"/>
  <c r="D265" i="37"/>
  <c r="D266" i="37"/>
  <c r="D267" i="37"/>
  <c r="D268" i="37"/>
  <c r="D269" i="37"/>
  <c r="D270" i="37"/>
  <c r="D271" i="37"/>
  <c r="D272" i="37"/>
  <c r="D273" i="37"/>
  <c r="D274" i="37"/>
  <c r="D275" i="37"/>
  <c r="D276" i="37"/>
  <c r="D277" i="37"/>
  <c r="D278" i="37"/>
  <c r="D279" i="37"/>
  <c r="D280" i="37"/>
  <c r="D281" i="37"/>
  <c r="D282" i="37"/>
  <c r="D283" i="37"/>
  <c r="D284" i="37"/>
  <c r="D285" i="37"/>
  <c r="D286" i="37"/>
  <c r="D287" i="37"/>
  <c r="D288" i="37"/>
  <c r="D289" i="37"/>
  <c r="D290" i="37"/>
  <c r="D291" i="37"/>
  <c r="D292" i="37"/>
  <c r="D293" i="37"/>
  <c r="D294" i="37"/>
  <c r="D295" i="37"/>
  <c r="D296" i="37"/>
  <c r="D297" i="37"/>
  <c r="D298" i="37"/>
  <c r="D299" i="37"/>
  <c r="D300" i="37"/>
  <c r="D301" i="37"/>
  <c r="D302" i="37"/>
  <c r="D303" i="37"/>
  <c r="D304" i="37"/>
  <c r="D305" i="37"/>
  <c r="D306" i="37"/>
  <c r="D307" i="37"/>
  <c r="D308" i="37"/>
  <c r="D309" i="37"/>
  <c r="D310" i="37"/>
  <c r="D311" i="37"/>
  <c r="D312" i="37"/>
  <c r="D313" i="37"/>
  <c r="D314" i="37"/>
  <c r="D315" i="37"/>
  <c r="D316" i="37"/>
  <c r="D317" i="37"/>
  <c r="D318" i="37"/>
  <c r="D319" i="37"/>
  <c r="D320" i="37"/>
  <c r="D321" i="37"/>
  <c r="D322" i="37"/>
  <c r="D323" i="37"/>
  <c r="D324" i="37"/>
  <c r="D325" i="37"/>
  <c r="D326" i="37"/>
  <c r="D327" i="37"/>
  <c r="D328" i="37"/>
  <c r="D329" i="37"/>
  <c r="D330" i="37"/>
  <c r="D331" i="37"/>
  <c r="D332" i="37"/>
  <c r="D333" i="37"/>
  <c r="D334" i="37"/>
  <c r="D335" i="37"/>
  <c r="D336" i="37"/>
  <c r="D337" i="37"/>
  <c r="D338" i="37"/>
  <c r="D339" i="37"/>
  <c r="D340" i="37"/>
  <c r="D341" i="37"/>
  <c r="D342" i="37"/>
  <c r="D343" i="37"/>
  <c r="D344" i="37"/>
  <c r="D345" i="37"/>
  <c r="D346" i="37"/>
  <c r="D347" i="37"/>
  <c r="D348" i="37"/>
  <c r="D349" i="37"/>
  <c r="D350" i="37"/>
  <c r="D351" i="37"/>
  <c r="D352" i="37"/>
  <c r="D353" i="37"/>
  <c r="D354" i="37"/>
  <c r="D355" i="37"/>
  <c r="D356" i="37"/>
  <c r="D357" i="37"/>
  <c r="D358" i="37"/>
  <c r="D359" i="37"/>
  <c r="D360" i="37"/>
  <c r="D361" i="37"/>
  <c r="D362" i="37"/>
  <c r="D363" i="37"/>
  <c r="D364" i="37"/>
  <c r="D365" i="37"/>
  <c r="D366" i="37"/>
  <c r="D367" i="37"/>
  <c r="D368" i="37"/>
  <c r="D369" i="37"/>
  <c r="D370" i="37"/>
  <c r="D371" i="37"/>
  <c r="D372" i="37"/>
  <c r="D373" i="37"/>
  <c r="D374" i="37"/>
  <c r="D375" i="37"/>
  <c r="D376" i="37"/>
  <c r="D377" i="37"/>
  <c r="D378" i="37"/>
  <c r="D379" i="37"/>
  <c r="D380" i="37"/>
  <c r="D381" i="37"/>
  <c r="D382" i="37"/>
  <c r="D383" i="37"/>
  <c r="D384" i="37"/>
  <c r="D385" i="37"/>
  <c r="D386" i="37"/>
  <c r="D387" i="37"/>
  <c r="D388" i="37"/>
  <c r="D389" i="37"/>
  <c r="D390" i="37"/>
  <c r="D391" i="37"/>
  <c r="D392" i="37"/>
  <c r="D393" i="37"/>
  <c r="D394" i="37"/>
  <c r="D395" i="37"/>
  <c r="D396" i="37"/>
  <c r="D397" i="37"/>
  <c r="D398" i="37"/>
  <c r="D399" i="37"/>
  <c r="D400" i="37"/>
  <c r="D401" i="37"/>
  <c r="D402" i="37"/>
  <c r="D403" i="37"/>
  <c r="D404" i="37"/>
  <c r="D405" i="37"/>
  <c r="D406" i="37"/>
  <c r="D407" i="37"/>
  <c r="D408" i="37"/>
  <c r="D409" i="37"/>
  <c r="D410" i="37"/>
  <c r="D411" i="37"/>
  <c r="D412" i="37"/>
  <c r="D413" i="37"/>
  <c r="D414" i="37"/>
  <c r="D415" i="37"/>
  <c r="D416" i="37"/>
  <c r="D417" i="37"/>
  <c r="D418" i="37"/>
  <c r="D419" i="37"/>
  <c r="D420" i="37"/>
  <c r="D421" i="37"/>
  <c r="D422" i="37"/>
  <c r="D423" i="37"/>
  <c r="D424" i="37"/>
  <c r="D425" i="37"/>
  <c r="D426" i="37"/>
  <c r="D427" i="37"/>
  <c r="D428" i="37"/>
  <c r="D429" i="37"/>
  <c r="D430" i="37"/>
  <c r="D431" i="37"/>
  <c r="D432" i="37"/>
  <c r="D433" i="37"/>
  <c r="D434" i="37"/>
  <c r="D435" i="37"/>
  <c r="D436" i="37"/>
  <c r="D437" i="37"/>
  <c r="D438" i="37"/>
  <c r="D439" i="37"/>
  <c r="D440" i="37"/>
  <c r="D441" i="37"/>
  <c r="D442" i="37"/>
  <c r="D443" i="37"/>
  <c r="D444" i="37"/>
  <c r="D445" i="37"/>
  <c r="D446" i="37"/>
  <c r="D447" i="37"/>
  <c r="D448" i="37"/>
  <c r="D449" i="37"/>
  <c r="D450" i="37"/>
  <c r="D451" i="37"/>
  <c r="D452" i="37"/>
  <c r="D453" i="37"/>
  <c r="D454" i="37"/>
  <c r="D455" i="37"/>
  <c r="D456" i="37"/>
  <c r="D457" i="37"/>
  <c r="D458" i="37"/>
  <c r="D459" i="37"/>
  <c r="D460" i="37"/>
  <c r="D461" i="37"/>
  <c r="D462" i="37"/>
  <c r="D463" i="37"/>
  <c r="D464" i="37"/>
  <c r="D465" i="37"/>
  <c r="D466" i="37"/>
  <c r="D467" i="37"/>
  <c r="D468" i="37"/>
  <c r="D469" i="37"/>
  <c r="D470" i="37"/>
  <c r="D471" i="37"/>
  <c r="D472" i="37"/>
  <c r="D473" i="37"/>
  <c r="D474" i="37"/>
  <c r="D475" i="37"/>
  <c r="D476" i="37"/>
  <c r="D477" i="37"/>
  <c r="D478" i="37"/>
  <c r="D479" i="37"/>
  <c r="D480" i="37"/>
  <c r="D481" i="37"/>
  <c r="D482" i="37"/>
  <c r="D483" i="37"/>
  <c r="D484" i="37"/>
  <c r="D485" i="37"/>
  <c r="D486" i="37"/>
  <c r="D487" i="37"/>
  <c r="D488" i="37"/>
  <c r="D489" i="37"/>
  <c r="D490" i="37"/>
  <c r="D491" i="37"/>
  <c r="D492" i="37"/>
  <c r="D493" i="37"/>
  <c r="D494" i="37"/>
  <c r="D495" i="37"/>
  <c r="D496" i="37"/>
  <c r="D497" i="37"/>
  <c r="D498" i="37"/>
  <c r="D499" i="37"/>
  <c r="D500" i="37"/>
  <c r="D501" i="37"/>
  <c r="D502" i="37"/>
  <c r="D503" i="37"/>
  <c r="D504" i="37"/>
  <c r="D505" i="37"/>
  <c r="D506" i="37"/>
  <c r="D507" i="37"/>
  <c r="D508" i="37"/>
  <c r="D509" i="37"/>
  <c r="D510" i="37"/>
  <c r="D511" i="37"/>
  <c r="D512" i="37"/>
  <c r="D513" i="37"/>
  <c r="D514" i="37"/>
  <c r="D515" i="37"/>
  <c r="D516" i="37"/>
  <c r="D517" i="37"/>
  <c r="D518" i="37"/>
  <c r="D519" i="37"/>
  <c r="D520" i="37"/>
  <c r="D521" i="37"/>
  <c r="D522" i="37"/>
  <c r="D523" i="37"/>
  <c r="D524" i="37"/>
  <c r="D525" i="37"/>
  <c r="D526" i="37"/>
  <c r="D527" i="37"/>
  <c r="D528" i="37"/>
  <c r="D529" i="37"/>
  <c r="D530" i="37"/>
  <c r="D531" i="37"/>
  <c r="D532" i="37"/>
  <c r="D533" i="37"/>
  <c r="D534" i="37"/>
  <c r="D535" i="37"/>
  <c r="D536" i="37"/>
  <c r="D537" i="37"/>
  <c r="D538" i="37"/>
  <c r="D539" i="37"/>
  <c r="D540" i="37"/>
  <c r="D541" i="37"/>
  <c r="D542" i="37"/>
  <c r="D543" i="37"/>
  <c r="D544" i="37"/>
  <c r="D545" i="37"/>
  <c r="D546" i="37"/>
  <c r="D547" i="37"/>
  <c r="D548" i="37"/>
  <c r="D549" i="37"/>
  <c r="D550" i="37"/>
  <c r="D551" i="37"/>
  <c r="D552" i="37"/>
  <c r="D553" i="37"/>
  <c r="D554" i="37"/>
  <c r="D555" i="37"/>
  <c r="D556" i="37"/>
  <c r="D557" i="37"/>
  <c r="D558" i="37"/>
  <c r="D559" i="37"/>
  <c r="D560" i="37"/>
  <c r="D561" i="37"/>
  <c r="D562" i="37"/>
  <c r="D563" i="37"/>
  <c r="D564" i="37"/>
  <c r="D565" i="37"/>
  <c r="D566" i="37"/>
  <c r="D567" i="37"/>
  <c r="D568" i="37"/>
  <c r="D569" i="37"/>
  <c r="D570" i="37"/>
  <c r="D571" i="37"/>
  <c r="D572" i="37"/>
  <c r="D573" i="37"/>
  <c r="D574" i="37"/>
  <c r="D575" i="37"/>
  <c r="D576" i="37"/>
  <c r="D577" i="37"/>
  <c r="D578" i="37"/>
  <c r="D579" i="37"/>
  <c r="D580" i="37"/>
  <c r="D581" i="37"/>
  <c r="D582" i="37"/>
  <c r="D583" i="37"/>
  <c r="D584" i="37"/>
  <c r="D585" i="37"/>
  <c r="D586" i="37"/>
  <c r="D587" i="37"/>
  <c r="D588" i="37"/>
  <c r="D589" i="37"/>
  <c r="D590" i="37"/>
  <c r="D591" i="37"/>
  <c r="D592" i="37"/>
  <c r="D593" i="37"/>
  <c r="D594" i="37"/>
  <c r="D595" i="37"/>
  <c r="D596" i="37"/>
  <c r="D597" i="37"/>
  <c r="D598" i="37"/>
  <c r="D599" i="37"/>
  <c r="D600" i="37"/>
  <c r="D601" i="37"/>
  <c r="D602" i="37"/>
  <c r="D603" i="37"/>
  <c r="D604" i="37"/>
  <c r="D605" i="37"/>
  <c r="D606" i="37"/>
  <c r="D607" i="37"/>
  <c r="D608" i="37"/>
  <c r="D609" i="37"/>
  <c r="D610" i="37"/>
  <c r="D611" i="37"/>
  <c r="D612" i="37"/>
  <c r="D613" i="37"/>
  <c r="D614" i="37"/>
  <c r="D615" i="37"/>
  <c r="D616" i="37"/>
  <c r="D617" i="37"/>
  <c r="D618" i="37"/>
  <c r="D619" i="37"/>
  <c r="D620" i="37"/>
  <c r="D621" i="37"/>
  <c r="D622" i="37"/>
  <c r="D623" i="37"/>
  <c r="D624" i="37"/>
  <c r="D625" i="37"/>
  <c r="D626" i="37"/>
  <c r="D627" i="37"/>
  <c r="D628" i="37"/>
  <c r="D629" i="37"/>
  <c r="D630" i="37"/>
  <c r="D631" i="37"/>
  <c r="D632" i="37"/>
  <c r="D633" i="37"/>
  <c r="D634" i="37"/>
  <c r="D635" i="37"/>
  <c r="D636" i="37"/>
  <c r="D637" i="37"/>
  <c r="D638" i="37"/>
  <c r="D639" i="37"/>
  <c r="D640" i="37"/>
  <c r="D641" i="37"/>
  <c r="D642" i="37"/>
  <c r="D643" i="37"/>
  <c r="D644" i="37"/>
  <c r="D645" i="37"/>
  <c r="D646" i="37"/>
  <c r="D647" i="37"/>
  <c r="D648" i="37"/>
  <c r="D649" i="37"/>
  <c r="D650" i="37"/>
  <c r="D651" i="37"/>
  <c r="D652" i="37"/>
  <c r="D653" i="37"/>
  <c r="D654" i="37"/>
  <c r="D655" i="37"/>
  <c r="D656" i="37"/>
  <c r="D657" i="37"/>
  <c r="D658" i="37"/>
  <c r="D659" i="37"/>
  <c r="D660" i="37"/>
  <c r="D661" i="37"/>
  <c r="D662" i="37"/>
  <c r="D663" i="37"/>
  <c r="D664" i="37"/>
  <c r="D665" i="37"/>
  <c r="D666" i="37"/>
  <c r="D667" i="37"/>
  <c r="D668" i="37"/>
  <c r="D669" i="37"/>
  <c r="D670" i="37"/>
  <c r="D671" i="37"/>
  <c r="D672" i="37"/>
  <c r="D673" i="37"/>
  <c r="D674" i="37"/>
  <c r="D675" i="37"/>
  <c r="D676" i="37"/>
  <c r="D677" i="37"/>
  <c r="D678" i="37"/>
  <c r="D679" i="37"/>
  <c r="D680" i="37"/>
  <c r="D681" i="37"/>
  <c r="D682" i="37"/>
  <c r="D683" i="37"/>
  <c r="D684" i="37"/>
  <c r="D685" i="37"/>
  <c r="D686" i="37"/>
  <c r="D687" i="37"/>
  <c r="D688" i="37"/>
  <c r="D689" i="37"/>
  <c r="D690" i="37"/>
  <c r="D691" i="37"/>
  <c r="D692" i="37"/>
  <c r="D693" i="37"/>
  <c r="D694" i="37"/>
  <c r="D695" i="37"/>
  <c r="D696" i="37"/>
  <c r="D697" i="37"/>
  <c r="D698" i="37"/>
  <c r="D699" i="37"/>
  <c r="D700" i="37"/>
  <c r="D701" i="37"/>
  <c r="D702" i="37"/>
  <c r="D703" i="37"/>
  <c r="D704" i="37"/>
  <c r="D705" i="37"/>
  <c r="D706" i="37"/>
  <c r="D707" i="37"/>
  <c r="D708" i="37"/>
  <c r="D709" i="37"/>
  <c r="D710" i="37"/>
  <c r="D711" i="37"/>
  <c r="D712" i="37"/>
  <c r="D713" i="37"/>
  <c r="D714" i="37"/>
  <c r="D715" i="37"/>
  <c r="D716" i="37"/>
  <c r="D717" i="37"/>
  <c r="D718" i="37"/>
  <c r="D719" i="37"/>
  <c r="D720" i="37"/>
  <c r="D721" i="37"/>
  <c r="D722" i="37"/>
  <c r="D723" i="37"/>
  <c r="D724" i="37"/>
  <c r="D725" i="37"/>
  <c r="D726" i="37"/>
  <c r="D727" i="37"/>
  <c r="D728" i="37"/>
  <c r="D729" i="37"/>
  <c r="D730" i="37"/>
  <c r="D731" i="37"/>
  <c r="D732" i="37"/>
  <c r="D733" i="37"/>
  <c r="D734" i="37"/>
  <c r="D735" i="37"/>
  <c r="D736" i="37"/>
  <c r="D737" i="37"/>
  <c r="D738" i="37"/>
  <c r="D739" i="37"/>
  <c r="D740" i="37"/>
  <c r="D741" i="37"/>
  <c r="D742" i="37"/>
  <c r="D743" i="37"/>
  <c r="D744" i="37"/>
  <c r="D745" i="37"/>
  <c r="D746" i="37"/>
  <c r="D747" i="37"/>
  <c r="D748" i="37"/>
  <c r="D749" i="37"/>
  <c r="D750" i="37"/>
  <c r="D751" i="37"/>
  <c r="D752" i="37"/>
  <c r="D753" i="37"/>
  <c r="D754" i="37"/>
  <c r="D755" i="37"/>
  <c r="D756" i="37"/>
  <c r="D757" i="37"/>
  <c r="D758" i="37"/>
  <c r="D759" i="37"/>
  <c r="D760" i="37"/>
  <c r="D761" i="37"/>
  <c r="D762" i="37"/>
  <c r="D763" i="37"/>
  <c r="D764" i="37"/>
  <c r="D765" i="37"/>
  <c r="D766" i="37"/>
  <c r="D767" i="37"/>
  <c r="D768" i="37"/>
  <c r="D769" i="37"/>
  <c r="D770" i="37"/>
  <c r="D771" i="37"/>
  <c r="D772" i="37"/>
  <c r="D773" i="37"/>
  <c r="D774" i="37"/>
  <c r="D775" i="37"/>
  <c r="D776" i="37"/>
  <c r="D777" i="37"/>
  <c r="D778" i="37"/>
  <c r="D779" i="37"/>
  <c r="D780" i="37"/>
  <c r="D781" i="37"/>
  <c r="D782" i="37"/>
  <c r="D783" i="37"/>
  <c r="D784" i="37"/>
  <c r="D785" i="37"/>
  <c r="D786" i="37"/>
  <c r="D787" i="37"/>
  <c r="D788" i="37"/>
  <c r="D789" i="37"/>
  <c r="D790" i="37"/>
  <c r="D791" i="37"/>
  <c r="D792" i="37"/>
  <c r="D793" i="37"/>
  <c r="D794" i="37"/>
  <c r="D795" i="37"/>
  <c r="D796" i="37"/>
  <c r="D797" i="37"/>
  <c r="D798" i="37"/>
  <c r="D799" i="37"/>
  <c r="D800" i="37"/>
  <c r="D801" i="37"/>
  <c r="D802" i="37"/>
  <c r="D803" i="37"/>
  <c r="D804" i="37"/>
  <c r="D805" i="37"/>
  <c r="D806" i="37"/>
  <c r="D807" i="37"/>
  <c r="D808" i="37"/>
  <c r="D809" i="37"/>
  <c r="D810" i="37"/>
  <c r="D811" i="37"/>
  <c r="D812" i="37"/>
  <c r="D813" i="37"/>
  <c r="D814" i="37"/>
  <c r="D815" i="37"/>
  <c r="D816" i="37"/>
  <c r="D817" i="37"/>
  <c r="D818" i="37"/>
  <c r="D819" i="37"/>
  <c r="D820" i="37"/>
  <c r="D821" i="37"/>
  <c r="D822" i="37"/>
  <c r="D823" i="37"/>
  <c r="D824" i="37"/>
  <c r="D825" i="37"/>
  <c r="D826" i="37"/>
  <c r="D827" i="37"/>
  <c r="D828" i="37"/>
  <c r="D829" i="37"/>
  <c r="D830" i="37"/>
  <c r="D831" i="37"/>
  <c r="D832" i="37"/>
  <c r="D833" i="37"/>
  <c r="D834" i="37"/>
  <c r="D835" i="37"/>
  <c r="D836" i="37"/>
  <c r="D837" i="37"/>
  <c r="D838" i="37"/>
  <c r="D839" i="37"/>
  <c r="D840" i="37"/>
  <c r="D841" i="37"/>
  <c r="D842" i="37"/>
  <c r="D843" i="37"/>
  <c r="D844" i="37"/>
  <c r="D845" i="37"/>
  <c r="D846" i="37"/>
  <c r="D847" i="37"/>
  <c r="D848" i="37"/>
  <c r="D849" i="37"/>
  <c r="D850" i="37"/>
  <c r="D851" i="37"/>
  <c r="D852" i="37"/>
  <c r="D853" i="37"/>
  <c r="D854" i="37"/>
  <c r="D855" i="37"/>
  <c r="D856" i="37"/>
  <c r="D857" i="37"/>
  <c r="D858" i="37"/>
  <c r="D859" i="37"/>
  <c r="D860" i="37"/>
  <c r="D861" i="37"/>
  <c r="D862" i="37"/>
  <c r="D863" i="37"/>
  <c r="D864" i="37"/>
  <c r="D865" i="37"/>
  <c r="D866" i="37"/>
  <c r="D867" i="37"/>
  <c r="D868" i="37"/>
  <c r="D869" i="37"/>
  <c r="D870" i="37"/>
  <c r="D871" i="37"/>
  <c r="D872" i="37"/>
  <c r="D873" i="37"/>
  <c r="D874" i="37"/>
  <c r="D875" i="37"/>
  <c r="D876" i="37"/>
  <c r="D877" i="37"/>
  <c r="D878" i="37"/>
  <c r="D879" i="37"/>
  <c r="D880" i="37"/>
  <c r="D881" i="37"/>
  <c r="D882" i="37"/>
  <c r="D883" i="37"/>
  <c r="D884" i="37"/>
  <c r="D885" i="37"/>
  <c r="D886" i="37"/>
  <c r="D887" i="37"/>
  <c r="D888" i="37"/>
  <c r="D889" i="37"/>
  <c r="D890" i="37"/>
  <c r="D891" i="37"/>
  <c r="D892" i="37"/>
  <c r="D893" i="37"/>
  <c r="D894" i="37"/>
  <c r="D895" i="37"/>
  <c r="D896" i="37"/>
  <c r="D897" i="37"/>
  <c r="D898" i="37"/>
  <c r="D899" i="37"/>
  <c r="D900" i="37"/>
  <c r="D901" i="37"/>
  <c r="D902" i="37"/>
  <c r="D903" i="37"/>
  <c r="D904" i="37"/>
  <c r="D905" i="37"/>
  <c r="D906" i="37"/>
  <c r="D907" i="37"/>
  <c r="D908" i="37"/>
  <c r="D909" i="37"/>
  <c r="D910" i="37"/>
  <c r="D911" i="37"/>
  <c r="D912" i="37"/>
  <c r="D913" i="37"/>
  <c r="D914" i="37"/>
  <c r="D915" i="37"/>
  <c r="D916" i="37"/>
  <c r="D917" i="37"/>
  <c r="D918" i="37"/>
  <c r="D919" i="37"/>
  <c r="D920" i="37"/>
  <c r="D921" i="37"/>
  <c r="D922" i="37"/>
  <c r="D923" i="37"/>
  <c r="D924" i="37"/>
  <c r="D925" i="37"/>
  <c r="D926" i="37"/>
  <c r="D927" i="37"/>
  <c r="D928" i="37"/>
  <c r="D929" i="37"/>
  <c r="D930" i="37"/>
  <c r="D931" i="37"/>
  <c r="D932" i="37"/>
  <c r="D933" i="37"/>
  <c r="D934" i="37"/>
  <c r="D935" i="37"/>
  <c r="D936" i="37"/>
  <c r="D937" i="37"/>
  <c r="D938" i="37"/>
  <c r="D939" i="37"/>
  <c r="D940" i="37"/>
  <c r="D941" i="37"/>
  <c r="D942" i="37"/>
  <c r="D943" i="37"/>
  <c r="D944" i="37"/>
  <c r="D945" i="37"/>
  <c r="D946" i="37"/>
  <c r="D947" i="37"/>
  <c r="D948" i="37"/>
  <c r="D949" i="37"/>
  <c r="D950" i="37"/>
  <c r="D951" i="37"/>
  <c r="D952" i="37"/>
  <c r="D953" i="37"/>
  <c r="D954" i="37"/>
  <c r="D955" i="37"/>
  <c r="D956" i="37"/>
  <c r="D957" i="37"/>
  <c r="D958" i="37"/>
  <c r="D959" i="37"/>
  <c r="D960" i="37"/>
  <c r="D961" i="37"/>
  <c r="D962" i="37"/>
  <c r="D963" i="37"/>
  <c r="D964" i="37"/>
  <c r="D965" i="37"/>
  <c r="D966" i="37"/>
  <c r="D967" i="37"/>
  <c r="D968" i="37"/>
  <c r="D969" i="37"/>
  <c r="D970" i="37"/>
  <c r="D971" i="37"/>
  <c r="D972" i="37"/>
  <c r="D973" i="37"/>
  <c r="D974" i="37"/>
  <c r="D975" i="37"/>
  <c r="D976" i="37"/>
  <c r="D977" i="37"/>
  <c r="D978" i="37"/>
  <c r="D979" i="37"/>
  <c r="D980" i="37"/>
  <c r="D981" i="37"/>
  <c r="D982" i="37"/>
  <c r="D983" i="37"/>
  <c r="D984" i="37"/>
  <c r="D985" i="37"/>
  <c r="D986" i="37"/>
  <c r="D987" i="37"/>
  <c r="D988" i="37"/>
  <c r="D989" i="37"/>
  <c r="D990" i="37"/>
  <c r="D991" i="37"/>
  <c r="D992" i="37"/>
  <c r="D993" i="37"/>
  <c r="D994" i="37"/>
  <c r="D995" i="37"/>
  <c r="D996" i="37"/>
  <c r="D997" i="37"/>
  <c r="D998" i="37"/>
  <c r="D999" i="37"/>
  <c r="D1000" i="37"/>
  <c r="D1001" i="37"/>
  <c r="D1002" i="37"/>
  <c r="D1003" i="37"/>
  <c r="D1004" i="37"/>
  <c r="D1005" i="37"/>
  <c r="D1006" i="37"/>
  <c r="D1007" i="37"/>
  <c r="D1008" i="37"/>
  <c r="D1009" i="37"/>
  <c r="D1010" i="37"/>
  <c r="D1011" i="37"/>
  <c r="D1012" i="37"/>
  <c r="D1013" i="37"/>
  <c r="D1014" i="37"/>
  <c r="D1015" i="37"/>
  <c r="D1016" i="37"/>
  <c r="D1017" i="37"/>
  <c r="D1018" i="37"/>
  <c r="D1019" i="37"/>
  <c r="D1020" i="37"/>
  <c r="D1021" i="37"/>
  <c r="D1022" i="37"/>
  <c r="D1023" i="37"/>
  <c r="D1024" i="37"/>
  <c r="D1025" i="37"/>
  <c r="D1026" i="37"/>
  <c r="D1027" i="37"/>
  <c r="D1028" i="37"/>
  <c r="D1029" i="37"/>
  <c r="D1030" i="37"/>
  <c r="D1031" i="37"/>
  <c r="D1032" i="37"/>
  <c r="D1033" i="37"/>
  <c r="D1034" i="37"/>
  <c r="D1035" i="37"/>
  <c r="D1036" i="37"/>
  <c r="D1037" i="37"/>
  <c r="D1038" i="37"/>
  <c r="D1039" i="37"/>
  <c r="D1040" i="37"/>
  <c r="D1041" i="37"/>
  <c r="D1042" i="37"/>
  <c r="D1043" i="37"/>
  <c r="D1044" i="37"/>
  <c r="D1045" i="37"/>
  <c r="D1046" i="37"/>
  <c r="D1047" i="37"/>
  <c r="D1048" i="37"/>
  <c r="D1049" i="37"/>
  <c r="D1050" i="37"/>
  <c r="D1051" i="37"/>
  <c r="D1052" i="37"/>
  <c r="D1053" i="37"/>
  <c r="D1054" i="37"/>
  <c r="D1055" i="37"/>
  <c r="D1056" i="37"/>
  <c r="D1057" i="37"/>
  <c r="D1058" i="37"/>
  <c r="D1059" i="37"/>
  <c r="D1060" i="37"/>
  <c r="D1061" i="37"/>
  <c r="D1062" i="37"/>
  <c r="D1063" i="37"/>
  <c r="D1064" i="37"/>
  <c r="D1065" i="37"/>
  <c r="D1066" i="37"/>
  <c r="D1067" i="37"/>
  <c r="D1068" i="37"/>
  <c r="D1069" i="37"/>
  <c r="D1070" i="37"/>
  <c r="D1071" i="37"/>
  <c r="D1072" i="37"/>
  <c r="D1073" i="37"/>
  <c r="D1074" i="37"/>
  <c r="D1075" i="37"/>
  <c r="D1076" i="37"/>
  <c r="D1077" i="37"/>
  <c r="D1078" i="37"/>
  <c r="D1079" i="37"/>
  <c r="D1080" i="37"/>
  <c r="D1081" i="37"/>
  <c r="D1082" i="37"/>
  <c r="D1083" i="37"/>
  <c r="D1084" i="37"/>
  <c r="D1085" i="37"/>
  <c r="D1086" i="37"/>
  <c r="D1087" i="37"/>
  <c r="D1088" i="37"/>
  <c r="D1089" i="37"/>
  <c r="D1090" i="37"/>
  <c r="D1091" i="37"/>
  <c r="D1092" i="37"/>
  <c r="D1093" i="37"/>
  <c r="D1094" i="37"/>
  <c r="D1095" i="37"/>
  <c r="D1096" i="37"/>
  <c r="D1097" i="37"/>
  <c r="D1098" i="37"/>
  <c r="D1099" i="37"/>
  <c r="D1100" i="37"/>
  <c r="D1101" i="37"/>
  <c r="D1102" i="37"/>
  <c r="D1103" i="37"/>
  <c r="D1104" i="37"/>
  <c r="D1105" i="37"/>
  <c r="D1106" i="37"/>
  <c r="D1107" i="37"/>
  <c r="D1108" i="37"/>
  <c r="D1109" i="37"/>
  <c r="D1110" i="37"/>
  <c r="D1111" i="37"/>
  <c r="D1112" i="37"/>
  <c r="D1113" i="37"/>
  <c r="D1114" i="37"/>
  <c r="D1115" i="37"/>
  <c r="D1116" i="37"/>
  <c r="D1117" i="37"/>
  <c r="D1118" i="37"/>
  <c r="D1119" i="37"/>
  <c r="D1120" i="37"/>
  <c r="D1121" i="37"/>
  <c r="D1122" i="37"/>
  <c r="D1123" i="37"/>
  <c r="D1124" i="37"/>
  <c r="D1125" i="37"/>
  <c r="D1126" i="37"/>
  <c r="D1127" i="37"/>
  <c r="D1128" i="37"/>
  <c r="D1129" i="37"/>
  <c r="D1130" i="37"/>
  <c r="D1131" i="37"/>
  <c r="D1132" i="37"/>
  <c r="D1133" i="37"/>
  <c r="D1134" i="37"/>
  <c r="D1135" i="37"/>
  <c r="D1136" i="37"/>
  <c r="D1137" i="37"/>
  <c r="D1138" i="37"/>
  <c r="D1139" i="37"/>
  <c r="D1140" i="37"/>
  <c r="D1141" i="37"/>
  <c r="D1142" i="37"/>
  <c r="D1143" i="37"/>
  <c r="D1144" i="37"/>
  <c r="D1145" i="37"/>
  <c r="D1146" i="37"/>
  <c r="D1147" i="37"/>
  <c r="D1148" i="37"/>
  <c r="D1149" i="37"/>
  <c r="D1150" i="37"/>
  <c r="D1151" i="37"/>
  <c r="D1152" i="37"/>
  <c r="D1153" i="37"/>
  <c r="D1154" i="37"/>
  <c r="D1155" i="37"/>
  <c r="D1156" i="37"/>
  <c r="D1157" i="37"/>
  <c r="D1158" i="37"/>
  <c r="D1159" i="37"/>
  <c r="D1160" i="37"/>
  <c r="D1161" i="37"/>
  <c r="D1162" i="37"/>
  <c r="D1163" i="37"/>
  <c r="D1164" i="37"/>
  <c r="D1165" i="37"/>
  <c r="D1166" i="37"/>
  <c r="D1167" i="37"/>
  <c r="D1168" i="37"/>
  <c r="D1169" i="37"/>
  <c r="D1170" i="37"/>
  <c r="D1171" i="37"/>
  <c r="D1172" i="37"/>
  <c r="D1173" i="37"/>
  <c r="D1174" i="37"/>
  <c r="D1175" i="37"/>
  <c r="D1176" i="37"/>
  <c r="D1177" i="37"/>
  <c r="D1178" i="37"/>
  <c r="D1179" i="37"/>
  <c r="D1180" i="37"/>
  <c r="D1181" i="37"/>
  <c r="D1182" i="37"/>
  <c r="D1183" i="37"/>
  <c r="D1184" i="37"/>
  <c r="D1185" i="37"/>
  <c r="D1186" i="37"/>
  <c r="D1187" i="37"/>
  <c r="D1188" i="37"/>
  <c r="D1189" i="37"/>
  <c r="D1190" i="37"/>
  <c r="D1191" i="37"/>
  <c r="D1192" i="37"/>
  <c r="D1193" i="37"/>
  <c r="D1194" i="37"/>
  <c r="D1195" i="37"/>
  <c r="D1196" i="37"/>
  <c r="D1197" i="37"/>
  <c r="D1198" i="37"/>
  <c r="D1199" i="37"/>
  <c r="D1200" i="37"/>
  <c r="D1201" i="37"/>
  <c r="D1202" i="37"/>
  <c r="D1203" i="37"/>
  <c r="D1204" i="37"/>
  <c r="D1205" i="37"/>
  <c r="D1206" i="37"/>
  <c r="D1207" i="37"/>
  <c r="D1208" i="37"/>
  <c r="D1209" i="37"/>
  <c r="D1210" i="37"/>
  <c r="D1211" i="37"/>
  <c r="D1212" i="37"/>
  <c r="D1213" i="37"/>
  <c r="D1214" i="37"/>
  <c r="D1215" i="37"/>
  <c r="D1216" i="37"/>
  <c r="D1217" i="37"/>
  <c r="D1218" i="37"/>
  <c r="D1219" i="37"/>
  <c r="D1220" i="37"/>
  <c r="D1221" i="37"/>
  <c r="D1222" i="37"/>
  <c r="D1223" i="37"/>
  <c r="D1224" i="37"/>
  <c r="D1225" i="37"/>
  <c r="D1226" i="37"/>
  <c r="D1227" i="37"/>
  <c r="D1228" i="37"/>
  <c r="D1229" i="37"/>
  <c r="D1230" i="37"/>
  <c r="D1231" i="37"/>
  <c r="D1232" i="37"/>
  <c r="D1233" i="37"/>
  <c r="D1234" i="37"/>
  <c r="D1235" i="37"/>
  <c r="D1236" i="37"/>
  <c r="D1237" i="37"/>
  <c r="D1238" i="37"/>
  <c r="D1239" i="37"/>
  <c r="D1240" i="37"/>
  <c r="D1241" i="37"/>
  <c r="D1242" i="37"/>
  <c r="D1243" i="37"/>
  <c r="D1244" i="37"/>
  <c r="D1245" i="37"/>
  <c r="D1246" i="37"/>
  <c r="D1247" i="37"/>
  <c r="D1248" i="37"/>
  <c r="D1249" i="37"/>
  <c r="D1250" i="37"/>
  <c r="D1251" i="37"/>
  <c r="D1252" i="37"/>
  <c r="D1253" i="37"/>
  <c r="D1254" i="37"/>
  <c r="D1255" i="37"/>
  <c r="D1256" i="37"/>
  <c r="D1257" i="37"/>
  <c r="D1258" i="37"/>
  <c r="D1259" i="37"/>
  <c r="D1260" i="37"/>
  <c r="D1261" i="37"/>
  <c r="D1262" i="37"/>
  <c r="D1263" i="37"/>
  <c r="D1264" i="37"/>
  <c r="D1265" i="37"/>
  <c r="D1266" i="37"/>
  <c r="D1267" i="37"/>
  <c r="D1268" i="37"/>
  <c r="D1269" i="37"/>
  <c r="D1270" i="37"/>
  <c r="D1271" i="37"/>
  <c r="D1272" i="37"/>
  <c r="D1273" i="37"/>
  <c r="D1274" i="37"/>
  <c r="D1275" i="37"/>
  <c r="D1276" i="37"/>
  <c r="D1277" i="37"/>
  <c r="D1278" i="37"/>
  <c r="D1279" i="37"/>
  <c r="D1280" i="37"/>
  <c r="D1281" i="37"/>
  <c r="D1282" i="37"/>
  <c r="D1283" i="37"/>
  <c r="D1284" i="37"/>
  <c r="D1285" i="37"/>
  <c r="D1286" i="37"/>
  <c r="D1287" i="37"/>
  <c r="D1288" i="37"/>
  <c r="D1289" i="37"/>
  <c r="D1290" i="37"/>
  <c r="D1291" i="37"/>
  <c r="D1292" i="37"/>
  <c r="D1293" i="37"/>
  <c r="D1294" i="37"/>
  <c r="D1295" i="37"/>
  <c r="D1296" i="37"/>
  <c r="D1297" i="37"/>
  <c r="D1298" i="37"/>
  <c r="D1299" i="37"/>
  <c r="D1300" i="37"/>
  <c r="D1301" i="37"/>
  <c r="D1302" i="37"/>
  <c r="D1303" i="37"/>
  <c r="D1304" i="37"/>
  <c r="D1305" i="37"/>
  <c r="D1306" i="37"/>
  <c r="D1307" i="37"/>
  <c r="D1308" i="37"/>
  <c r="D1309" i="37"/>
  <c r="D1310" i="37"/>
  <c r="D1311" i="37"/>
  <c r="D1312" i="37"/>
  <c r="D1313" i="37"/>
  <c r="D1314" i="37"/>
  <c r="D1315" i="37"/>
  <c r="D1316" i="37"/>
  <c r="D1317" i="37"/>
  <c r="D1318" i="37"/>
  <c r="D1319" i="37"/>
  <c r="D1320" i="37"/>
  <c r="D1321" i="37"/>
  <c r="D1322" i="37"/>
  <c r="D1323" i="37"/>
  <c r="D1324" i="37"/>
  <c r="D1325" i="37"/>
  <c r="D1326" i="37"/>
  <c r="D1327" i="37"/>
  <c r="D1328" i="37"/>
  <c r="D1329" i="37"/>
  <c r="D1330" i="37"/>
  <c r="D1331" i="37"/>
  <c r="D1332" i="37"/>
  <c r="D1333" i="37"/>
  <c r="D1334" i="37"/>
  <c r="D1335" i="37"/>
  <c r="D1336" i="37"/>
  <c r="D1337" i="37"/>
  <c r="D1338" i="37"/>
  <c r="D1339" i="37"/>
  <c r="D1340" i="37"/>
  <c r="D1341" i="37"/>
  <c r="D1342" i="37"/>
  <c r="D1343" i="37"/>
  <c r="D1344" i="37"/>
  <c r="D1345" i="37"/>
  <c r="D1346" i="37"/>
  <c r="D1347" i="37"/>
  <c r="D1348" i="37"/>
  <c r="D1349" i="37"/>
  <c r="D1350" i="37"/>
  <c r="D1351" i="37"/>
  <c r="D1352" i="37"/>
  <c r="D1353" i="37"/>
  <c r="D1354" i="37"/>
  <c r="D1355" i="37"/>
  <c r="D1356" i="37"/>
  <c r="D1357" i="37"/>
  <c r="D1358" i="37"/>
  <c r="D1359" i="37"/>
  <c r="D1360" i="37"/>
  <c r="D1361" i="37"/>
  <c r="D1362" i="37"/>
  <c r="D1363" i="37"/>
  <c r="D1364" i="37"/>
  <c r="D1365" i="37"/>
  <c r="D1366" i="37"/>
  <c r="D1367" i="37"/>
  <c r="D1368" i="37"/>
  <c r="D1369" i="37"/>
  <c r="D1370" i="37"/>
  <c r="D1371" i="37"/>
  <c r="D1372" i="37"/>
  <c r="D1373" i="37"/>
  <c r="D1374" i="37"/>
  <c r="D1375" i="37"/>
  <c r="D1376" i="37"/>
  <c r="D1377" i="37"/>
  <c r="D1378" i="37"/>
  <c r="D1379" i="37"/>
  <c r="D1380" i="37"/>
  <c r="D1381" i="37"/>
  <c r="D1382" i="37"/>
  <c r="D1383" i="37"/>
  <c r="D1384" i="37"/>
  <c r="D1385" i="37"/>
  <c r="D1386" i="37"/>
  <c r="D1387" i="37"/>
  <c r="D1388" i="37"/>
  <c r="D1389" i="37"/>
  <c r="D1390" i="37"/>
  <c r="D1391" i="37"/>
  <c r="D1392" i="37"/>
  <c r="D1393" i="37"/>
  <c r="D1394" i="37"/>
  <c r="D1395" i="37"/>
  <c r="D1396" i="37"/>
  <c r="D1397" i="37"/>
  <c r="D1398" i="37"/>
  <c r="D1399" i="37"/>
  <c r="D1400" i="37"/>
  <c r="D1401" i="37"/>
  <c r="D1402" i="37"/>
  <c r="D1403" i="37"/>
  <c r="D1404" i="37"/>
  <c r="D1405" i="37"/>
  <c r="D1406" i="37"/>
  <c r="D1407" i="37"/>
  <c r="D1408" i="37"/>
  <c r="D1409" i="37"/>
  <c r="D1410" i="37"/>
  <c r="D1411" i="37"/>
  <c r="D1412" i="37"/>
  <c r="D1413" i="37"/>
  <c r="D1414" i="37"/>
  <c r="D1415" i="37"/>
  <c r="D1416" i="37"/>
  <c r="D1417" i="37"/>
  <c r="D1418" i="37"/>
  <c r="D1419" i="37"/>
  <c r="D1420" i="37"/>
  <c r="D1421" i="37"/>
  <c r="D1422" i="37"/>
  <c r="D1423" i="37"/>
  <c r="D1424" i="37"/>
  <c r="D1425" i="37"/>
  <c r="D1426" i="37"/>
  <c r="D1427" i="37"/>
  <c r="D1428" i="37"/>
  <c r="D1429" i="37"/>
  <c r="D1430" i="37"/>
  <c r="D1431" i="37"/>
  <c r="D1432" i="37"/>
  <c r="D1433" i="37"/>
  <c r="D1434" i="37"/>
  <c r="D1435" i="37"/>
  <c r="D1436" i="37"/>
  <c r="D1437" i="37"/>
  <c r="D1438" i="37"/>
  <c r="D1439" i="37"/>
  <c r="D1440" i="37"/>
  <c r="D1441" i="37"/>
  <c r="D1442" i="37"/>
  <c r="D1443" i="37"/>
  <c r="D1444" i="37"/>
  <c r="D1445" i="37"/>
  <c r="D1446" i="37"/>
  <c r="D1447" i="37"/>
  <c r="D1448" i="37"/>
  <c r="D1449" i="37"/>
  <c r="D1450" i="37"/>
  <c r="D1451" i="37"/>
  <c r="D1452" i="37"/>
  <c r="D1453" i="37"/>
  <c r="D1454" i="37"/>
  <c r="D1455" i="37"/>
  <c r="D1456" i="37"/>
  <c r="D1457" i="37"/>
  <c r="D1458" i="37"/>
  <c r="D1459" i="37"/>
  <c r="D1460" i="37"/>
  <c r="D1461" i="37"/>
  <c r="D1462" i="37"/>
  <c r="D1463" i="37"/>
  <c r="D1464" i="37"/>
  <c r="D1465" i="37"/>
  <c r="D1466" i="37"/>
  <c r="D1467" i="37"/>
  <c r="D1468" i="37"/>
  <c r="D1469" i="37"/>
  <c r="D1470" i="37"/>
  <c r="D1471" i="37"/>
  <c r="D1472" i="37"/>
  <c r="D1473" i="37"/>
  <c r="D1474" i="37"/>
  <c r="D1475" i="37"/>
  <c r="D1476" i="37"/>
  <c r="D1477" i="37"/>
  <c r="D1478" i="37"/>
  <c r="D1479" i="37"/>
  <c r="D1480" i="37"/>
  <c r="D1481" i="37"/>
  <c r="D1482" i="37"/>
  <c r="D1483" i="37"/>
  <c r="D1484" i="37"/>
  <c r="D1485" i="37"/>
  <c r="D1486" i="37"/>
  <c r="D1487" i="37"/>
  <c r="D1488" i="37"/>
  <c r="D1489" i="37"/>
  <c r="D1490" i="37"/>
  <c r="D1491" i="37"/>
  <c r="D1492" i="37"/>
  <c r="D1493" i="37"/>
  <c r="D1494" i="37"/>
  <c r="D1495" i="37"/>
  <c r="D1496" i="37"/>
  <c r="D1497" i="37"/>
  <c r="D1498" i="37"/>
  <c r="D1499" i="37"/>
  <c r="D1500" i="37"/>
  <c r="D1501" i="37"/>
  <c r="D1502" i="37"/>
  <c r="D1503" i="37"/>
  <c r="D1504" i="37"/>
  <c r="D1505" i="37"/>
  <c r="D1506" i="37"/>
  <c r="D1507" i="37"/>
  <c r="D1508" i="37"/>
  <c r="D1509" i="37"/>
  <c r="D1510" i="37"/>
  <c r="D1511" i="37"/>
  <c r="D1512" i="37"/>
  <c r="D1513" i="37"/>
  <c r="D1514" i="37"/>
  <c r="D1515" i="37"/>
  <c r="D1516" i="37"/>
  <c r="D1517" i="37"/>
  <c r="D1518" i="37"/>
  <c r="D1519" i="37"/>
  <c r="D1520" i="37"/>
  <c r="D1521" i="37"/>
  <c r="D1522" i="37"/>
  <c r="D1523" i="37"/>
  <c r="D1524" i="37"/>
  <c r="D1525" i="37"/>
  <c r="D1526" i="37"/>
  <c r="D1527" i="37"/>
  <c r="D1528" i="37"/>
  <c r="D1529" i="37"/>
  <c r="D1530" i="37"/>
  <c r="D1531" i="37"/>
  <c r="D1532" i="37"/>
  <c r="D1533" i="37"/>
  <c r="D1534" i="37"/>
  <c r="D1535" i="37"/>
  <c r="D1536" i="37"/>
  <c r="D1537" i="37"/>
  <c r="D1538" i="37"/>
  <c r="D1539" i="37"/>
  <c r="D1540" i="37"/>
  <c r="D1541" i="37"/>
  <c r="I2" i="36" l="1"/>
  <c r="I3" i="36"/>
  <c r="I4" i="36"/>
  <c r="I5" i="36"/>
  <c r="I6" i="36"/>
  <c r="I7" i="36"/>
  <c r="I8" i="36"/>
  <c r="I9" i="36"/>
  <c r="I10" i="36"/>
  <c r="I11" i="36"/>
  <c r="I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32" i="36"/>
  <c r="I33" i="36"/>
  <c r="I34" i="36"/>
  <c r="I35" i="36"/>
  <c r="I36" i="36"/>
  <c r="I37" i="36"/>
  <c r="I38" i="36"/>
  <c r="I39" i="36"/>
  <c r="I40" i="36"/>
  <c r="I41" i="36"/>
  <c r="I42" i="36"/>
  <c r="I43" i="36"/>
  <c r="I44" i="36"/>
  <c r="I45" i="36"/>
  <c r="I46" i="36"/>
  <c r="I47" i="36"/>
  <c r="I48" i="36"/>
  <c r="I49" i="36"/>
  <c r="I50" i="36"/>
  <c r="I51" i="36"/>
  <c r="I52" i="36"/>
  <c r="I53" i="36"/>
  <c r="I54" i="36"/>
  <c r="I55" i="36"/>
  <c r="I56" i="36"/>
  <c r="I57" i="36"/>
  <c r="I58" i="36"/>
  <c r="I59" i="36"/>
  <c r="I60" i="36"/>
  <c r="I61" i="36"/>
  <c r="I62" i="36"/>
  <c r="I63" i="36"/>
  <c r="I64" i="36"/>
  <c r="I65" i="36"/>
  <c r="I66" i="36"/>
  <c r="I67" i="36"/>
  <c r="I68" i="36"/>
  <c r="I69" i="36"/>
  <c r="I70" i="36"/>
  <c r="I71" i="36"/>
  <c r="I72" i="36"/>
  <c r="I73" i="36"/>
  <c r="I74" i="36"/>
  <c r="I75" i="36"/>
  <c r="I76" i="36"/>
  <c r="I77" i="36"/>
  <c r="I78" i="36"/>
  <c r="I79" i="36"/>
  <c r="I80" i="36"/>
  <c r="I81" i="36"/>
  <c r="I82" i="36"/>
  <c r="I83" i="36"/>
  <c r="I84" i="36"/>
  <c r="I85" i="36"/>
  <c r="I86" i="36"/>
  <c r="I87" i="36"/>
  <c r="I88" i="36"/>
  <c r="I89" i="36"/>
  <c r="I90" i="36"/>
  <c r="I91" i="36"/>
  <c r="I92" i="36"/>
  <c r="I93" i="36"/>
  <c r="I94" i="36"/>
  <c r="I95" i="36"/>
  <c r="I96" i="36"/>
  <c r="I97" i="36"/>
  <c r="I98" i="36"/>
  <c r="I99" i="36"/>
  <c r="I100" i="36"/>
  <c r="I101" i="36"/>
  <c r="I2" i="35"/>
  <c r="I3" i="35"/>
  <c r="I4" i="35"/>
  <c r="I5" i="35"/>
  <c r="I6" i="35"/>
  <c r="I7" i="35"/>
  <c r="I8" i="35"/>
  <c r="I9" i="35"/>
  <c r="I10" i="35"/>
  <c r="I11" i="35"/>
  <c r="I12" i="35"/>
  <c r="I13" i="35"/>
  <c r="I14" i="35"/>
  <c r="I15" i="35"/>
  <c r="I16" i="35"/>
  <c r="I17" i="35"/>
  <c r="I18" i="35"/>
  <c r="I19" i="35"/>
  <c r="I20" i="35"/>
  <c r="I21" i="35"/>
  <c r="I22" i="35"/>
  <c r="I23" i="35"/>
  <c r="I24" i="35"/>
  <c r="I25" i="35"/>
  <c r="I26" i="35"/>
  <c r="I27" i="35"/>
  <c r="I28" i="35"/>
  <c r="I29" i="35"/>
  <c r="I30" i="35"/>
  <c r="I31" i="35"/>
  <c r="I32" i="35"/>
  <c r="I33" i="35"/>
  <c r="I34" i="35"/>
  <c r="I35" i="35"/>
  <c r="I36" i="35"/>
  <c r="I37" i="35"/>
  <c r="I38" i="35"/>
  <c r="I39" i="35"/>
  <c r="I40" i="35"/>
  <c r="I41" i="35"/>
  <c r="I42" i="35"/>
  <c r="I43" i="35"/>
  <c r="I44" i="35"/>
  <c r="I45" i="35"/>
  <c r="I46" i="35"/>
  <c r="I47" i="35"/>
  <c r="I48" i="35"/>
  <c r="I49" i="35"/>
  <c r="I50" i="35"/>
  <c r="I51" i="35"/>
  <c r="I52" i="35"/>
  <c r="I53" i="35"/>
  <c r="I54" i="35"/>
  <c r="I55" i="35"/>
  <c r="I56" i="35"/>
  <c r="I57" i="35"/>
  <c r="I58" i="35"/>
  <c r="I59" i="35"/>
  <c r="I60" i="35"/>
  <c r="I61" i="35"/>
  <c r="I62" i="35"/>
  <c r="I63" i="35"/>
  <c r="I64" i="35"/>
  <c r="I65" i="35"/>
  <c r="I66" i="35"/>
  <c r="I67" i="35"/>
  <c r="I68" i="35"/>
  <c r="I69" i="35"/>
  <c r="I70" i="35"/>
  <c r="I71" i="35"/>
  <c r="I72" i="35"/>
  <c r="I73" i="35"/>
  <c r="I74" i="35"/>
  <c r="I75" i="35"/>
  <c r="I76" i="35"/>
  <c r="I77" i="35"/>
  <c r="I78" i="35"/>
  <c r="I79" i="35"/>
  <c r="I80" i="35"/>
  <c r="I81" i="35"/>
  <c r="I82" i="35"/>
  <c r="I83" i="35"/>
  <c r="I84" i="35"/>
  <c r="I85" i="35"/>
  <c r="I86" i="35"/>
  <c r="I87" i="35"/>
  <c r="I88" i="35"/>
  <c r="I89" i="35"/>
  <c r="I90" i="35"/>
  <c r="I91" i="35"/>
  <c r="I92" i="35"/>
  <c r="I93" i="35"/>
  <c r="I94" i="35"/>
  <c r="I95" i="35"/>
  <c r="I96" i="35"/>
  <c r="I97" i="35"/>
  <c r="I98" i="35"/>
  <c r="I99" i="35"/>
  <c r="I100" i="35"/>
  <c r="I101" i="35"/>
  <c r="I2" i="34"/>
  <c r="I3" i="34"/>
  <c r="I4" i="34"/>
  <c r="I5" i="34"/>
  <c r="I6" i="34"/>
  <c r="I7" i="34"/>
  <c r="I8" i="34"/>
  <c r="I9" i="34"/>
  <c r="I10" i="34"/>
  <c r="I11" i="34"/>
  <c r="I12" i="34"/>
  <c r="I13" i="34"/>
  <c r="I14" i="34"/>
  <c r="I15" i="34"/>
  <c r="I16" i="34"/>
  <c r="I17" i="34"/>
  <c r="I18" i="34"/>
  <c r="I19" i="34"/>
  <c r="I20" i="34"/>
  <c r="I21" i="34"/>
  <c r="I22" i="34"/>
  <c r="I23" i="34"/>
  <c r="I24" i="34"/>
  <c r="I25" i="34"/>
  <c r="I26" i="34"/>
  <c r="I27" i="34"/>
  <c r="I28" i="34"/>
  <c r="I29" i="34"/>
  <c r="I30" i="34"/>
  <c r="I31" i="34"/>
  <c r="I32" i="34"/>
  <c r="I33" i="34"/>
  <c r="I34" i="34"/>
  <c r="I35" i="34"/>
  <c r="I36" i="34"/>
  <c r="I37" i="34"/>
  <c r="I38" i="34"/>
  <c r="I39" i="34"/>
  <c r="I40" i="34"/>
  <c r="I41" i="34"/>
  <c r="I42" i="34"/>
  <c r="I43" i="34"/>
  <c r="I44" i="34"/>
  <c r="I45" i="34"/>
  <c r="I46" i="34"/>
  <c r="I47" i="34"/>
  <c r="I48" i="34"/>
  <c r="I49" i="34"/>
  <c r="I50" i="34"/>
  <c r="I51" i="34"/>
  <c r="I52" i="34"/>
  <c r="I53" i="34"/>
  <c r="I54" i="34"/>
  <c r="I55" i="34"/>
  <c r="I56" i="34"/>
  <c r="I57" i="34"/>
  <c r="I58" i="34"/>
  <c r="I59" i="34"/>
  <c r="I60" i="34"/>
  <c r="I61" i="34"/>
  <c r="I62" i="34"/>
  <c r="I63" i="34"/>
  <c r="I64" i="34"/>
  <c r="I65" i="34"/>
  <c r="I66" i="34"/>
  <c r="I67" i="34"/>
  <c r="I68" i="34"/>
  <c r="I69" i="34"/>
  <c r="I70" i="34"/>
  <c r="I71" i="34"/>
  <c r="I72" i="34"/>
  <c r="I73" i="34"/>
  <c r="I74" i="34"/>
  <c r="I75" i="34"/>
  <c r="I76" i="34"/>
  <c r="I77" i="34"/>
  <c r="I78" i="34"/>
  <c r="I79" i="34"/>
  <c r="I80" i="34"/>
  <c r="I81" i="34"/>
  <c r="I82" i="34"/>
  <c r="I83" i="34"/>
  <c r="I84" i="34"/>
  <c r="I85" i="34"/>
  <c r="I86" i="34"/>
  <c r="I87" i="34"/>
  <c r="I88" i="34"/>
  <c r="I89" i="34"/>
  <c r="I90" i="34"/>
  <c r="I91" i="34"/>
  <c r="I92" i="34"/>
  <c r="I93" i="34"/>
  <c r="I94" i="34"/>
  <c r="I95" i="34"/>
  <c r="I96" i="34"/>
  <c r="I97" i="34"/>
  <c r="I98" i="34"/>
  <c r="I99" i="34"/>
  <c r="I100" i="34"/>
  <c r="I101" i="34"/>
  <c r="I2" i="33"/>
  <c r="I3" i="33"/>
  <c r="I4" i="33"/>
  <c r="I5" i="33"/>
  <c r="I6" i="33"/>
  <c r="I7" i="33"/>
  <c r="I8" i="33"/>
  <c r="I9" i="33"/>
  <c r="I10" i="33"/>
  <c r="I11" i="33"/>
  <c r="I12" i="33"/>
  <c r="I13" i="33"/>
  <c r="I14" i="33"/>
  <c r="I15" i="33"/>
  <c r="I16" i="33"/>
  <c r="I17" i="33"/>
  <c r="I18" i="33"/>
  <c r="I19" i="33"/>
  <c r="I20" i="33"/>
  <c r="I21" i="33"/>
  <c r="I22" i="33"/>
  <c r="I23" i="33"/>
  <c r="I24" i="33"/>
  <c r="I25" i="33"/>
  <c r="I26" i="33"/>
  <c r="I27" i="33"/>
  <c r="I28" i="33"/>
  <c r="I29" i="33"/>
  <c r="I30" i="33"/>
  <c r="I31" i="33"/>
  <c r="I32" i="33"/>
  <c r="I33" i="33"/>
  <c r="I34" i="33"/>
  <c r="I35" i="33"/>
  <c r="I36" i="33"/>
  <c r="I37" i="33"/>
  <c r="I38" i="33"/>
  <c r="I39" i="33"/>
  <c r="I40" i="33"/>
  <c r="I41" i="33"/>
  <c r="I42" i="33"/>
  <c r="I43" i="33"/>
  <c r="I44" i="33"/>
  <c r="I45" i="33"/>
  <c r="I46" i="33"/>
  <c r="I47" i="33"/>
  <c r="I48" i="33"/>
  <c r="I49" i="33"/>
  <c r="I50" i="33"/>
  <c r="I51" i="33"/>
  <c r="I52" i="33"/>
  <c r="I53" i="33"/>
  <c r="I54" i="33"/>
  <c r="I55" i="33"/>
  <c r="I56" i="33"/>
  <c r="I57" i="33"/>
  <c r="I58" i="33"/>
  <c r="I59" i="33"/>
  <c r="I60" i="33"/>
  <c r="I61" i="33"/>
  <c r="I62" i="33"/>
  <c r="I63" i="33"/>
  <c r="I64" i="33"/>
  <c r="I65" i="33"/>
  <c r="I66" i="33"/>
  <c r="I67" i="33"/>
  <c r="I68" i="33"/>
  <c r="I69" i="33"/>
  <c r="I70" i="33"/>
  <c r="I71" i="33"/>
  <c r="I72" i="33"/>
  <c r="I73" i="33"/>
  <c r="I74" i="33"/>
  <c r="I75" i="33"/>
  <c r="I76" i="33"/>
  <c r="I77" i="33"/>
  <c r="I78" i="33"/>
  <c r="I79" i="33"/>
  <c r="I80" i="33"/>
  <c r="I81" i="33"/>
  <c r="I82" i="33"/>
  <c r="I83" i="33"/>
  <c r="I84" i="33"/>
  <c r="I85" i="33"/>
  <c r="I86" i="33"/>
  <c r="I87" i="33"/>
  <c r="I88" i="33"/>
  <c r="I89" i="33"/>
  <c r="I90" i="33"/>
  <c r="I91" i="33"/>
  <c r="I92" i="33"/>
  <c r="I93" i="33"/>
  <c r="I94" i="33"/>
  <c r="I95" i="33"/>
  <c r="I96" i="33"/>
  <c r="I97" i="33"/>
  <c r="I98" i="33"/>
  <c r="I99" i="33"/>
  <c r="I100" i="33"/>
  <c r="I101" i="33"/>
  <c r="I2" i="32"/>
  <c r="I3" i="32"/>
  <c r="I4" i="32"/>
  <c r="I5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I34" i="32"/>
  <c r="I35" i="32"/>
  <c r="I36" i="32"/>
  <c r="I37" i="32"/>
  <c r="I38" i="32"/>
  <c r="I39" i="32"/>
  <c r="I40" i="32"/>
  <c r="I41" i="32"/>
  <c r="I42" i="32"/>
  <c r="I43" i="32"/>
  <c r="I44" i="32"/>
  <c r="I45" i="32"/>
  <c r="I46" i="32"/>
  <c r="I47" i="32"/>
  <c r="I48" i="32"/>
  <c r="I49" i="32"/>
  <c r="I50" i="32"/>
  <c r="I51" i="32"/>
  <c r="I52" i="32"/>
  <c r="I53" i="32"/>
  <c r="I54" i="32"/>
  <c r="I55" i="32"/>
  <c r="I56" i="32"/>
  <c r="I57" i="32"/>
  <c r="I58" i="32"/>
  <c r="I59" i="32"/>
  <c r="I60" i="32"/>
  <c r="I61" i="32"/>
  <c r="I62" i="32"/>
  <c r="I63" i="32"/>
  <c r="I64" i="32"/>
  <c r="I65" i="32"/>
  <c r="I66" i="32"/>
  <c r="I67" i="32"/>
  <c r="I68" i="32"/>
  <c r="I69" i="32"/>
  <c r="I70" i="32"/>
  <c r="I71" i="32"/>
  <c r="I72" i="32"/>
  <c r="I73" i="32"/>
  <c r="I74" i="32"/>
  <c r="I75" i="32"/>
  <c r="I76" i="32"/>
  <c r="I77" i="32"/>
  <c r="I78" i="32"/>
  <c r="I79" i="32"/>
  <c r="I80" i="32"/>
  <c r="I81" i="32"/>
  <c r="I82" i="32"/>
  <c r="I83" i="32"/>
  <c r="I84" i="32"/>
  <c r="I85" i="32"/>
  <c r="I86" i="32"/>
  <c r="I87" i="32"/>
  <c r="I88" i="32"/>
  <c r="I89" i="32"/>
  <c r="I90" i="32"/>
  <c r="I91" i="32"/>
  <c r="I92" i="32"/>
  <c r="I93" i="32"/>
  <c r="I94" i="32"/>
  <c r="I95" i="32"/>
  <c r="I96" i="32"/>
  <c r="I97" i="32"/>
  <c r="I98" i="32"/>
  <c r="I99" i="32"/>
  <c r="I100" i="32"/>
  <c r="I101" i="32"/>
  <c r="I2" i="31"/>
  <c r="I3" i="31"/>
  <c r="I4" i="31"/>
  <c r="I5" i="31"/>
  <c r="I6" i="31"/>
  <c r="I7" i="31"/>
  <c r="I8" i="31"/>
  <c r="I9" i="31"/>
  <c r="I10" i="31"/>
  <c r="I11" i="31"/>
  <c r="I12" i="31"/>
  <c r="I13" i="31"/>
  <c r="I14" i="31"/>
  <c r="I15" i="31"/>
  <c r="I16" i="31"/>
  <c r="I17" i="31"/>
  <c r="I18" i="31"/>
  <c r="I19" i="31"/>
  <c r="I20" i="31"/>
  <c r="I21" i="31"/>
  <c r="I22" i="31"/>
  <c r="I23" i="31"/>
  <c r="I24" i="31"/>
  <c r="I25" i="31"/>
  <c r="I26" i="31"/>
  <c r="I27" i="31"/>
  <c r="I28" i="31"/>
  <c r="I29" i="31"/>
  <c r="I30" i="31"/>
  <c r="I31" i="31"/>
  <c r="I32" i="31"/>
  <c r="I33" i="31"/>
  <c r="I34" i="31"/>
  <c r="I35" i="31"/>
  <c r="I36" i="31"/>
  <c r="I37" i="31"/>
  <c r="I38" i="31"/>
  <c r="I39" i="31"/>
  <c r="I40" i="31"/>
  <c r="I41" i="31"/>
  <c r="I42" i="31"/>
  <c r="I43" i="31"/>
  <c r="I44" i="31"/>
  <c r="I45" i="31"/>
  <c r="I46" i="31"/>
  <c r="I47" i="31"/>
  <c r="I48" i="31"/>
  <c r="I49" i="31"/>
  <c r="I50" i="31"/>
  <c r="I51" i="31"/>
  <c r="I52" i="31"/>
  <c r="I53" i="31"/>
  <c r="I54" i="31"/>
  <c r="I55" i="31"/>
  <c r="I56" i="31"/>
  <c r="I57" i="31"/>
  <c r="I58" i="31"/>
  <c r="I59" i="31"/>
  <c r="I60" i="31"/>
  <c r="I61" i="31"/>
  <c r="I62" i="31"/>
  <c r="I63" i="31"/>
  <c r="I64" i="31"/>
  <c r="I65" i="31"/>
  <c r="I66" i="31"/>
  <c r="I67" i="31"/>
  <c r="I68" i="31"/>
  <c r="I69" i="31"/>
  <c r="I70" i="31"/>
  <c r="I71" i="31"/>
  <c r="I72" i="31"/>
  <c r="I73" i="31"/>
  <c r="I74" i="31"/>
  <c r="I75" i="31"/>
  <c r="I76" i="31"/>
  <c r="I77" i="31"/>
  <c r="I78" i="31"/>
  <c r="I79" i="31"/>
  <c r="I80" i="31"/>
  <c r="I81" i="31"/>
  <c r="I82" i="31"/>
  <c r="I83" i="31"/>
  <c r="I84" i="31"/>
  <c r="I85" i="31"/>
  <c r="I86" i="31"/>
  <c r="I87" i="31"/>
  <c r="I88" i="31"/>
  <c r="I89" i="31"/>
  <c r="I90" i="31"/>
  <c r="I91" i="31"/>
  <c r="I92" i="31"/>
  <c r="I93" i="31"/>
  <c r="I94" i="31"/>
  <c r="I95" i="31"/>
  <c r="I96" i="31"/>
  <c r="I97" i="31"/>
  <c r="I98" i="31"/>
  <c r="I99" i="31"/>
  <c r="I100" i="31"/>
  <c r="I101" i="31"/>
  <c r="I2" i="29"/>
  <c r="I3" i="29"/>
  <c r="I4" i="29"/>
  <c r="I5" i="29"/>
  <c r="I6" i="29"/>
  <c r="I7" i="29"/>
  <c r="I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37" i="29"/>
  <c r="I38" i="29"/>
  <c r="I39" i="29"/>
  <c r="I40" i="29"/>
  <c r="I41" i="29"/>
  <c r="I42" i="29"/>
  <c r="I43" i="29"/>
  <c r="I44" i="29"/>
  <c r="I45" i="29"/>
  <c r="I46" i="29"/>
  <c r="I47" i="29"/>
  <c r="I48" i="29"/>
  <c r="I49" i="29"/>
  <c r="I50" i="29"/>
  <c r="I51" i="29"/>
  <c r="I52" i="29"/>
  <c r="I53" i="29"/>
  <c r="I54" i="29"/>
  <c r="I55" i="29"/>
  <c r="I56" i="29"/>
  <c r="I57" i="29"/>
  <c r="I58" i="29"/>
  <c r="I59" i="29"/>
  <c r="I60" i="29"/>
  <c r="I61" i="29"/>
  <c r="I62" i="29"/>
  <c r="I63" i="29"/>
  <c r="I64" i="29"/>
  <c r="I65" i="29"/>
  <c r="I66" i="29"/>
  <c r="I67" i="29"/>
  <c r="I68" i="29"/>
  <c r="I69" i="29"/>
  <c r="I70" i="29"/>
  <c r="I71" i="29"/>
  <c r="I72" i="29"/>
  <c r="I73" i="29"/>
  <c r="I74" i="29"/>
  <c r="I75" i="29"/>
  <c r="I76" i="29"/>
  <c r="I77" i="29"/>
  <c r="I78" i="29"/>
  <c r="I79" i="29"/>
  <c r="I80" i="29"/>
  <c r="I81" i="29"/>
  <c r="I82" i="29"/>
  <c r="I83" i="29"/>
  <c r="I84" i="29"/>
  <c r="I85" i="29"/>
  <c r="I86" i="29"/>
  <c r="I87" i="29"/>
  <c r="I88" i="29"/>
  <c r="I89" i="29"/>
  <c r="I90" i="29"/>
  <c r="I91" i="29"/>
  <c r="I92" i="29"/>
  <c r="I93" i="29"/>
  <c r="I94" i="29"/>
  <c r="I95" i="29"/>
  <c r="I96" i="29"/>
  <c r="I97" i="29"/>
  <c r="I98" i="29"/>
  <c r="I99" i="29"/>
  <c r="I100" i="29"/>
  <c r="I101" i="29"/>
  <c r="I2" i="28"/>
  <c r="I3" i="28"/>
  <c r="I4" i="28"/>
  <c r="I5" i="28"/>
  <c r="I6" i="28"/>
  <c r="I7" i="28"/>
  <c r="I8" i="28"/>
  <c r="I9" i="28"/>
  <c r="I10" i="28"/>
  <c r="I11" i="28"/>
  <c r="I12" i="28"/>
  <c r="I13" i="28"/>
  <c r="I14" i="28"/>
  <c r="I15" i="28"/>
  <c r="I16" i="28"/>
  <c r="I17" i="28"/>
  <c r="I18" i="28"/>
  <c r="I19" i="28"/>
  <c r="I20" i="28"/>
  <c r="I21" i="28"/>
  <c r="I22" i="28"/>
  <c r="I23" i="28"/>
  <c r="I24" i="28"/>
  <c r="I25" i="28"/>
  <c r="I26" i="28"/>
  <c r="I27" i="28"/>
  <c r="I28" i="28"/>
  <c r="I29" i="28"/>
  <c r="I30" i="28"/>
  <c r="I31" i="28"/>
  <c r="I32" i="28"/>
  <c r="I33" i="28"/>
  <c r="I34" i="28"/>
  <c r="I35" i="28"/>
  <c r="I36" i="28"/>
  <c r="I37" i="28"/>
  <c r="I38" i="28"/>
  <c r="I39" i="28"/>
  <c r="I40" i="28"/>
  <c r="I41" i="28"/>
  <c r="I42" i="28"/>
  <c r="I43" i="28"/>
  <c r="I44" i="28"/>
  <c r="I45" i="28"/>
  <c r="I46" i="28"/>
  <c r="I47" i="28"/>
  <c r="I48" i="28"/>
  <c r="I49" i="28"/>
  <c r="I50" i="28"/>
  <c r="I51" i="28"/>
  <c r="I52" i="28"/>
  <c r="I53" i="28"/>
  <c r="I54" i="28"/>
  <c r="I55" i="28"/>
  <c r="I56" i="28"/>
  <c r="I57" i="28"/>
  <c r="I58" i="28"/>
  <c r="I59" i="28"/>
  <c r="I60" i="28"/>
  <c r="I61" i="28"/>
  <c r="I62" i="28"/>
  <c r="I63" i="28"/>
  <c r="I64" i="28"/>
  <c r="I65" i="28"/>
  <c r="I66" i="28"/>
  <c r="I67" i="28"/>
  <c r="I68" i="28"/>
  <c r="I69" i="28"/>
  <c r="I70" i="28"/>
  <c r="I71" i="28"/>
  <c r="I72" i="28"/>
  <c r="I73" i="28"/>
  <c r="I74" i="28"/>
  <c r="I75" i="28"/>
  <c r="I76" i="28"/>
  <c r="I77" i="28"/>
  <c r="I78" i="28"/>
  <c r="I79" i="28"/>
  <c r="I80" i="28"/>
  <c r="I81" i="28"/>
  <c r="I82" i="28"/>
  <c r="I83" i="28"/>
  <c r="I84" i="28"/>
  <c r="I85" i="28"/>
  <c r="I86" i="28"/>
  <c r="I87" i="28"/>
  <c r="I88" i="28"/>
  <c r="I89" i="28"/>
  <c r="I90" i="28"/>
  <c r="I91" i="28"/>
  <c r="I92" i="28"/>
  <c r="I93" i="28"/>
  <c r="I94" i="28"/>
  <c r="I95" i="28"/>
  <c r="I96" i="28"/>
  <c r="I97" i="28"/>
  <c r="I98" i="28"/>
  <c r="I99" i="28"/>
  <c r="I100" i="28"/>
  <c r="I101" i="28"/>
  <c r="I2" i="25"/>
  <c r="I3" i="25"/>
  <c r="I4" i="25"/>
  <c r="I5" i="25"/>
  <c r="I6" i="25"/>
  <c r="I7" i="25"/>
  <c r="I8" i="25"/>
  <c r="I9" i="25"/>
  <c r="I10" i="25"/>
  <c r="I11" i="25"/>
  <c r="I12" i="25"/>
  <c r="I13" i="25"/>
  <c r="I14" i="25"/>
  <c r="I15" i="25"/>
  <c r="I16" i="25"/>
  <c r="I17" i="25"/>
  <c r="I18" i="25"/>
  <c r="I19" i="25"/>
  <c r="I20" i="25"/>
  <c r="I21" i="25"/>
  <c r="I22" i="25"/>
  <c r="I23" i="25"/>
  <c r="I24" i="25"/>
  <c r="I25" i="25"/>
  <c r="I26" i="25"/>
  <c r="I27" i="25"/>
  <c r="I28" i="25"/>
  <c r="I29" i="25"/>
  <c r="I30" i="25"/>
  <c r="I31" i="25"/>
  <c r="I32" i="25"/>
  <c r="I33" i="25"/>
  <c r="I34" i="25"/>
  <c r="I35" i="25"/>
  <c r="I36" i="25"/>
  <c r="I37" i="25"/>
  <c r="I38" i="25"/>
  <c r="I39" i="25"/>
  <c r="I40" i="25"/>
  <c r="I41" i="25"/>
  <c r="I42" i="25"/>
  <c r="I43" i="25"/>
  <c r="I44" i="25"/>
  <c r="I45" i="25"/>
  <c r="I46" i="25"/>
  <c r="I47" i="25"/>
  <c r="I48" i="25"/>
  <c r="I49" i="25"/>
  <c r="I50" i="25"/>
  <c r="I51" i="25"/>
  <c r="I52" i="25"/>
  <c r="I53" i="25"/>
  <c r="I54" i="25"/>
  <c r="I55" i="25"/>
  <c r="I56" i="25"/>
  <c r="I57" i="25"/>
  <c r="I58" i="25"/>
  <c r="I59" i="25"/>
  <c r="I60" i="25"/>
  <c r="I61" i="25"/>
  <c r="I62" i="25"/>
  <c r="I63" i="25"/>
  <c r="I64" i="25"/>
  <c r="I65" i="25"/>
  <c r="I66" i="25"/>
  <c r="I67" i="25"/>
  <c r="I68" i="25"/>
  <c r="I69" i="25"/>
  <c r="I70" i="25"/>
  <c r="I71" i="25"/>
  <c r="I72" i="25"/>
  <c r="I73" i="25"/>
  <c r="I74" i="25"/>
  <c r="I75" i="25"/>
  <c r="I76" i="25"/>
  <c r="I77" i="25"/>
  <c r="I78" i="25"/>
  <c r="I79" i="25"/>
  <c r="I80" i="25"/>
  <c r="I81" i="25"/>
  <c r="I82" i="25"/>
  <c r="I83" i="25"/>
  <c r="I84" i="25"/>
  <c r="I85" i="25"/>
  <c r="I86" i="25"/>
  <c r="I87" i="25"/>
  <c r="I88" i="25"/>
  <c r="I89" i="25"/>
  <c r="I90" i="25"/>
  <c r="I91" i="25"/>
  <c r="I92" i="25"/>
  <c r="I93" i="25"/>
  <c r="I94" i="25"/>
  <c r="I95" i="25"/>
  <c r="I96" i="25"/>
  <c r="I97" i="25"/>
  <c r="I98" i="25"/>
  <c r="I99" i="25"/>
  <c r="I100" i="25"/>
  <c r="I101" i="25"/>
  <c r="I2" i="24"/>
  <c r="I3" i="24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2" i="24"/>
  <c r="I33" i="24"/>
  <c r="I34" i="24"/>
  <c r="I35" i="24"/>
  <c r="I36" i="24"/>
  <c r="I37" i="24"/>
  <c r="I38" i="24"/>
  <c r="I39" i="24"/>
  <c r="I40" i="24"/>
  <c r="I41" i="24"/>
  <c r="I42" i="24"/>
  <c r="I43" i="24"/>
  <c r="I44" i="24"/>
  <c r="I45" i="24"/>
  <c r="I46" i="24"/>
  <c r="I47" i="24"/>
  <c r="I48" i="24"/>
  <c r="I49" i="24"/>
  <c r="I50" i="24"/>
  <c r="I51" i="24"/>
  <c r="I52" i="24"/>
  <c r="I53" i="24"/>
  <c r="I54" i="24"/>
  <c r="I55" i="24"/>
  <c r="I56" i="24"/>
  <c r="I57" i="24"/>
  <c r="I58" i="24"/>
  <c r="I59" i="24"/>
  <c r="I60" i="24"/>
  <c r="I61" i="24"/>
  <c r="I62" i="24"/>
  <c r="I63" i="24"/>
  <c r="I64" i="24"/>
  <c r="I65" i="24"/>
  <c r="I66" i="24"/>
  <c r="I67" i="24"/>
  <c r="I68" i="24"/>
  <c r="I69" i="24"/>
  <c r="I70" i="24"/>
  <c r="I71" i="24"/>
  <c r="I72" i="24"/>
  <c r="I73" i="24"/>
  <c r="I74" i="24"/>
  <c r="I75" i="24"/>
  <c r="I76" i="24"/>
  <c r="I77" i="24"/>
  <c r="I78" i="24"/>
  <c r="I79" i="24"/>
  <c r="I80" i="24"/>
  <c r="I81" i="24"/>
  <c r="I82" i="24"/>
  <c r="I83" i="24"/>
  <c r="I84" i="24"/>
  <c r="I85" i="24"/>
  <c r="I86" i="24"/>
  <c r="I87" i="24"/>
  <c r="I88" i="24"/>
  <c r="I89" i="24"/>
  <c r="I90" i="24"/>
  <c r="I91" i="24"/>
  <c r="I92" i="24"/>
  <c r="I93" i="24"/>
  <c r="I94" i="24"/>
  <c r="I95" i="24"/>
  <c r="I96" i="24"/>
  <c r="I97" i="24"/>
  <c r="I98" i="24"/>
  <c r="I99" i="24"/>
  <c r="I100" i="24"/>
  <c r="I101" i="24"/>
  <c r="I2" i="23"/>
  <c r="I3" i="23"/>
  <c r="I4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2" i="22"/>
  <c r="I3" i="22"/>
  <c r="I4" i="22"/>
  <c r="I5" i="22"/>
  <c r="I6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/>
  <c r="I73" i="22"/>
  <c r="I74" i="22"/>
  <c r="I75" i="22"/>
  <c r="I76" i="22"/>
  <c r="I77" i="22"/>
  <c r="I78" i="22"/>
  <c r="I79" i="22"/>
  <c r="I80" i="22"/>
  <c r="I81" i="22"/>
  <c r="I82" i="22"/>
  <c r="I83" i="22"/>
  <c r="I84" i="22"/>
  <c r="I85" i="22"/>
  <c r="I86" i="22"/>
  <c r="I87" i="22"/>
  <c r="I88" i="22"/>
  <c r="I89" i="22"/>
  <c r="I90" i="22"/>
  <c r="I91" i="22"/>
  <c r="I92" i="22"/>
  <c r="I93" i="22"/>
  <c r="I94" i="22"/>
  <c r="I95" i="22"/>
  <c r="I96" i="22"/>
  <c r="I97" i="22"/>
  <c r="I98" i="22"/>
  <c r="I99" i="22"/>
  <c r="I100" i="22"/>
  <c r="I101" i="22"/>
  <c r="I2" i="21"/>
  <c r="I3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50" i="21"/>
  <c r="I51" i="21"/>
  <c r="I52" i="21"/>
  <c r="I53" i="21"/>
  <c r="I54" i="21"/>
  <c r="I55" i="21"/>
  <c r="I56" i="21"/>
  <c r="I57" i="21"/>
  <c r="I58" i="21"/>
  <c r="I59" i="21"/>
  <c r="I60" i="21"/>
  <c r="I61" i="21"/>
  <c r="I62" i="21"/>
  <c r="I63" i="21"/>
  <c r="I64" i="21"/>
  <c r="I65" i="21"/>
  <c r="I66" i="21"/>
  <c r="I67" i="21"/>
  <c r="I68" i="21"/>
  <c r="I69" i="21"/>
  <c r="I70" i="21"/>
  <c r="I71" i="21"/>
  <c r="I72" i="21"/>
  <c r="I73" i="21"/>
  <c r="I74" i="2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3" i="21"/>
  <c r="I94" i="21"/>
  <c r="I95" i="21"/>
  <c r="I96" i="21"/>
  <c r="I97" i="21"/>
  <c r="I98" i="21"/>
  <c r="I99" i="21"/>
  <c r="I100" i="21"/>
  <c r="I101" i="21"/>
  <c r="I2" i="20"/>
  <c r="I3" i="20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I99" i="20"/>
  <c r="I100" i="20"/>
  <c r="I101" i="20"/>
  <c r="I2" i="19"/>
  <c r="I3" i="19"/>
  <c r="I4" i="19"/>
  <c r="I5" i="19"/>
  <c r="I6" i="19"/>
  <c r="I7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I39" i="19"/>
  <c r="I40" i="19"/>
  <c r="I41" i="19"/>
  <c r="I42" i="19"/>
  <c r="I43" i="19"/>
  <c r="I44" i="19"/>
  <c r="I45" i="19"/>
  <c r="I46" i="19"/>
  <c r="I47" i="19"/>
  <c r="I48" i="19"/>
  <c r="I49" i="19"/>
  <c r="I50" i="19"/>
  <c r="I51" i="19"/>
  <c r="I52" i="19"/>
  <c r="I53" i="19"/>
  <c r="I54" i="19"/>
  <c r="I55" i="19"/>
  <c r="I56" i="19"/>
  <c r="I57" i="19"/>
  <c r="I58" i="19"/>
  <c r="I59" i="19"/>
  <c r="I60" i="19"/>
  <c r="I61" i="19"/>
  <c r="I62" i="19"/>
  <c r="I63" i="19"/>
  <c r="I64" i="19"/>
  <c r="I65" i="19"/>
  <c r="I66" i="19"/>
  <c r="I67" i="19"/>
  <c r="I68" i="19"/>
  <c r="I69" i="19"/>
  <c r="I70" i="19"/>
  <c r="I71" i="19"/>
  <c r="I72" i="19"/>
  <c r="I73" i="19"/>
  <c r="I74" i="19"/>
  <c r="I75" i="19"/>
  <c r="I76" i="19"/>
  <c r="I77" i="19"/>
  <c r="I78" i="19"/>
  <c r="I79" i="19"/>
  <c r="I80" i="19"/>
  <c r="I81" i="19"/>
  <c r="I82" i="19"/>
  <c r="I83" i="19"/>
  <c r="I84" i="19"/>
  <c r="I85" i="19"/>
  <c r="I86" i="19"/>
  <c r="I87" i="19"/>
  <c r="I88" i="19"/>
  <c r="I89" i="19"/>
  <c r="I90" i="19"/>
  <c r="I91" i="19"/>
  <c r="I92" i="19"/>
  <c r="I93" i="19"/>
  <c r="I94" i="19"/>
  <c r="I95" i="19"/>
  <c r="I96" i="19"/>
  <c r="I97" i="19"/>
  <c r="I98" i="19"/>
  <c r="I99" i="19"/>
  <c r="I100" i="19"/>
  <c r="I101" i="19"/>
  <c r="I2" i="18"/>
  <c r="I3" i="18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2" i="17"/>
  <c r="I3" i="17"/>
  <c r="I4" i="17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2" i="16"/>
  <c r="I3" i="16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I99" i="16"/>
  <c r="I100" i="16"/>
  <c r="I101" i="16"/>
  <c r="I2" i="15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2" i="14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2" i="13"/>
  <c r="I3" i="13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2" i="12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2" i="10"/>
  <c r="I3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</calcChain>
</file>

<file path=xl/sharedStrings.xml><?xml version="1.0" encoding="utf-8"?>
<sst xmlns="http://schemas.openxmlformats.org/spreadsheetml/2006/main" count="16282" uniqueCount="8870">
  <si>
    <t>p_val</t>
  </si>
  <si>
    <t>avg_logFC</t>
  </si>
  <si>
    <t>pct.1</t>
  </si>
  <si>
    <t>pct.2</t>
  </si>
  <si>
    <t>p_val_adj</t>
  </si>
  <si>
    <t>Gene.name.uniq</t>
  </si>
  <si>
    <t>Ensembl.Gene.ID</t>
  </si>
  <si>
    <t>Associated.Gene.Name</t>
  </si>
  <si>
    <t>ZFIN.ID</t>
  </si>
  <si>
    <t>Description</t>
  </si>
  <si>
    <t>si:dkey-205h13.2</t>
  </si>
  <si>
    <t>ENSDARG00000089429</t>
  </si>
  <si>
    <t>si:dkey-205h13.2 [Source:ZFIN;Acc:ZDB-GENE-080225-18]</t>
  </si>
  <si>
    <t>si:rp71-1c10.11</t>
  </si>
  <si>
    <t>ENSDARG00000096721</t>
  </si>
  <si>
    <t>si:rp71-1c10.11 [Source:ZFIN;Acc:ZDB-GENE-130603-61]</t>
  </si>
  <si>
    <t>zgc:158343</t>
  </si>
  <si>
    <t>ENSDARG00000099411</t>
  </si>
  <si>
    <t>zgc:158343 [Source:ZFIN;Acc:ZDB-GENE-061201-9]</t>
  </si>
  <si>
    <t>cldnb</t>
  </si>
  <si>
    <t>ENSDARG00000009544</t>
  </si>
  <si>
    <t>claudin b [Source:ZFIN;Acc:ZDB-GENE-010328-2]</t>
  </si>
  <si>
    <t>malat1</t>
  </si>
  <si>
    <t>ENSDARG00000099970</t>
  </si>
  <si>
    <t>metastasis associated lung adenocarcinoma transcript 1 [Source:ZFIN;Acc:ZDB-GENE-141216-248]</t>
  </si>
  <si>
    <t>epcam</t>
  </si>
  <si>
    <t>ENSDARG00000040534</t>
  </si>
  <si>
    <t>epithelial cell adhesion molecule [Source:ZFIN;Acc:ZDB-GENE-040426-2209]</t>
  </si>
  <si>
    <t>xbp1</t>
  </si>
  <si>
    <t>ENSDARG00000035622</t>
  </si>
  <si>
    <t>X-box binding protein 1 [Source:ZFIN;Acc:ZDB-GENE-011210-2]</t>
  </si>
  <si>
    <t>krt1-c5</t>
  </si>
  <si>
    <t>ENSDARG00000026979</t>
  </si>
  <si>
    <t>keratin, type 1, gene c5 [Source:ZFIN;Acc:ZDB-GENE-060316-3]</t>
  </si>
  <si>
    <t>tmem176l.4</t>
  </si>
  <si>
    <t>ENSDARG00000074390</t>
  </si>
  <si>
    <t>transmembrane protein 176l.4 [Source:ZFIN;Acc:ZDB-GENE-030131-3532]</t>
  </si>
  <si>
    <t>si:ch211-103f14.3</t>
  </si>
  <si>
    <t>ENSDARG00000088315</t>
  </si>
  <si>
    <t>si:ch211-103f14.3 [Source:ZFIN;Acc:ZDB-GENE-110411-160]</t>
  </si>
  <si>
    <t>nfkbiab</t>
  </si>
  <si>
    <t>ENSDARG00000007693</t>
  </si>
  <si>
    <t>nuclear factor of kappa light polypeptide gene enhancer in B-cells inhibitor, alpha b [Source:ZFIN;Acc:ZDB-GENE-030131-1819]</t>
  </si>
  <si>
    <t>junba</t>
  </si>
  <si>
    <t>ENSDARG00000074378</t>
  </si>
  <si>
    <t>jun B proto-oncogene a [Source:ZFIN;Acc:ZDB-GENE-040426-2172]</t>
  </si>
  <si>
    <t>fam46bb</t>
  </si>
  <si>
    <t>ENSDARG00000011797</t>
  </si>
  <si>
    <t>family with sequence similarity 46, member Bb [Source:ZFIN;Acc:ZDB-GENE-060503-431]</t>
  </si>
  <si>
    <t>pdia3</t>
  </si>
  <si>
    <t>ENSDARG00000102640</t>
  </si>
  <si>
    <t>protein disulfide isomerase family A, member 3 [Source:ZFIN;Acc:ZDB-GENE-031002-9]</t>
  </si>
  <si>
    <t>zgc:77517</t>
  </si>
  <si>
    <t>ENSDARG00000028618</t>
  </si>
  <si>
    <t>zgc:77517 [Source:ZFIN;Acc:ZDB-GENE-040426-1508]</t>
  </si>
  <si>
    <t>zfp36l1b</t>
  </si>
  <si>
    <t>ENSDARG00000021443</t>
  </si>
  <si>
    <t>zinc finger protein 36, C3H type-like 1b [Source:ZFIN;Acc:ZDB-GENE-030131-2391]</t>
  </si>
  <si>
    <t>cd9b</t>
  </si>
  <si>
    <t>ENSDARG00000016691</t>
  </si>
  <si>
    <t>CD9 molecule b [Source:ZFIN;Acc:ZDB-GENE-040426-2768]</t>
  </si>
  <si>
    <t>btg1</t>
  </si>
  <si>
    <t>ENSDARG00000027249</t>
  </si>
  <si>
    <t>B-cell translocation gene 1, anti-proliferative [Source:ZFIN;Acc:ZDB-GENE-010726-1]</t>
  </si>
  <si>
    <t>tmsb4x</t>
  </si>
  <si>
    <t>ENSDARG00000077777</t>
  </si>
  <si>
    <t>thymosin, beta 4 x [Source:ZFIN;Acc:ZDB-GENE-030131-8304]</t>
  </si>
  <si>
    <t>junbb</t>
  </si>
  <si>
    <t>ENSDARG00000104773</t>
  </si>
  <si>
    <t>jun B proto-oncogene b [Source:ZFIN;Acc:ZDB-GENE-040426-2666]</t>
  </si>
  <si>
    <t>ucp2</t>
  </si>
  <si>
    <t>ENSDARG00000043154</t>
  </si>
  <si>
    <t>uncoupling protein 2 [Source:ZFIN;Acc:ZDB-GENE-990708-8]</t>
  </si>
  <si>
    <t>phlda2</t>
  </si>
  <si>
    <t>ENSDARG00000042874</t>
  </si>
  <si>
    <t>pleckstrin homology-like domain, family A, member 2 [Source:ZFIN;Acc:ZDB-GENE-050522-73]</t>
  </si>
  <si>
    <t>hspa5</t>
  </si>
  <si>
    <t>ENSDARG00000103846</t>
  </si>
  <si>
    <t>heat shock protein 5 [Source:ZFIN;Acc:ZDB-GENE-031001-11]</t>
  </si>
  <si>
    <t>sdc4</t>
  </si>
  <si>
    <t>ENSDARG00000059906</t>
  </si>
  <si>
    <t>syndecan 4 [Source:ZFIN;Acc:ZDB-GENE-061111-1]</t>
  </si>
  <si>
    <t>id1.1</t>
  </si>
  <si>
    <t>ENSDARG00000096939</t>
  </si>
  <si>
    <t>id1</t>
  </si>
  <si>
    <t>eef1a1l1</t>
  </si>
  <si>
    <t>ENSDARG00000020850</t>
  </si>
  <si>
    <t>eukaryotic translation elongation factor 1 alpha 1, like 1 [Source:ZFIN;Acc:ZDB-GENE-990415-52]</t>
  </si>
  <si>
    <t>mcl1b</t>
  </si>
  <si>
    <t>ENSDARG00000008363</t>
  </si>
  <si>
    <t>myeloid cell leukemia 1b [Source:ZFIN;Acc:ZDB-GENE-030825-1]</t>
  </si>
  <si>
    <t>si:ch211-39i22.1</t>
  </si>
  <si>
    <t>ENSDARG00000087508</t>
  </si>
  <si>
    <t>si:ch211-39i22.1 [Source:ZFIN;Acc:ZDB-GENE-120215-258]</t>
  </si>
  <si>
    <t>klf17</t>
  </si>
  <si>
    <t>ENSDARG00000038792</t>
  </si>
  <si>
    <t>Kruppel-like factor 17 [Source:ZFIN;Acc:ZDB-GENE-010129-1]</t>
  </si>
  <si>
    <t>btg2</t>
  </si>
  <si>
    <t>ENSDARG00000020298</t>
  </si>
  <si>
    <t>B-cell translocation gene 2 [Source:ZFIN;Acc:ZDB-GENE-000210-15]</t>
  </si>
  <si>
    <t>si:ch211-117m20.5</t>
  </si>
  <si>
    <t>ENSDARG00000091996</t>
  </si>
  <si>
    <t>si:ch211-117m20.5 [Source:ZFIN;Acc:ZDB-GENE-030131-12]</t>
  </si>
  <si>
    <t>net1</t>
  </si>
  <si>
    <t>ENSDARG00000032765</t>
  </si>
  <si>
    <t>neuroepithelial cell transforming 1 [Source:ZFIN;Acc:ZDB-GENE-041121-18]</t>
  </si>
  <si>
    <t>spaca4l</t>
  </si>
  <si>
    <t>ENSDARG00000100431</t>
  </si>
  <si>
    <t>sperm acrosome associated 4 like [Source:ZFIN;Acc:ZDB-GENE-101011-2]</t>
  </si>
  <si>
    <t>sec61g</t>
  </si>
  <si>
    <t>ENSDARG00000018637</t>
  </si>
  <si>
    <t>Sec61 translocon gamma subunit [Source:ZFIN;Acc:ZDB-GENE-040718-203]</t>
  </si>
  <si>
    <t>nme2b.1</t>
  </si>
  <si>
    <t>ENSDARG00000103791</t>
  </si>
  <si>
    <t>NME/NM23 nucleoside diphosphate kinase 2b, tandem duplicate 1 [Source:ZFIN;Acc:ZDB-GENE-000210-32]</t>
  </si>
  <si>
    <t>si:dkey-222f2.1</t>
  </si>
  <si>
    <t>ENSDARG00000043242</t>
  </si>
  <si>
    <t>si:dkey-222f2.1 [Source:ZFIN;Acc:ZDB-GENE-050208-726]</t>
  </si>
  <si>
    <t>gpx1a</t>
  </si>
  <si>
    <t>ENSDARG00000018146</t>
  </si>
  <si>
    <t>glutathione peroxidase 1a [Source:ZFIN;Acc:ZDB-GENE-030410-1]</t>
  </si>
  <si>
    <t>eef1da</t>
  </si>
  <si>
    <t>ENSDARG00000102291</t>
  </si>
  <si>
    <t>eukaryotic translation elongation factor 1 delta a (guanine nucleotide exchange protein) [Source:ZFIN;Acc:ZDB-GENE-040426-2740]</t>
  </si>
  <si>
    <t>marcksl1b</t>
  </si>
  <si>
    <t>ENSDARG00000035715</t>
  </si>
  <si>
    <t>MARCKS-like 1b [Source:ZFIN;Acc:ZDB-GENE-040426-2315]</t>
  </si>
  <si>
    <t>tnks1bp1</t>
  </si>
  <si>
    <t>ENSDARG00000068760</t>
  </si>
  <si>
    <t>tankyrase 1 binding protein 1 [Source:ZFIN;Acc:ZDB-GENE-050208-317]</t>
  </si>
  <si>
    <t>icn</t>
  </si>
  <si>
    <t>ENSDARG00000009978</t>
  </si>
  <si>
    <t>ictacalcin [Source:ZFIN;Acc:ZDB-GENE-030131-8599]</t>
  </si>
  <si>
    <t>CR847847.1</t>
  </si>
  <si>
    <t>ENSDARG00000087096</t>
  </si>
  <si>
    <t>fxyd6l</t>
  </si>
  <si>
    <t>ENSDARG00000097057</t>
  </si>
  <si>
    <t>FXYD domain containing ion transport regulator 6 like [Source:ZFIN;Acc:ZDB-GENE-071205-8]</t>
  </si>
  <si>
    <t>soul2</t>
  </si>
  <si>
    <t>ENSDARG00000039499</t>
  </si>
  <si>
    <t>heme-binding protein soul2 [Source:ZFIN;Acc:ZDB-GENE-030131-2524]</t>
  </si>
  <si>
    <t>cfl1l</t>
  </si>
  <si>
    <t>ENSDARG00000012972</t>
  </si>
  <si>
    <t>cofilin 1 (non-muscle), like [Source:ZFIN;Acc:ZDB-GENE-040426-2770]</t>
  </si>
  <si>
    <t>ppib</t>
  </si>
  <si>
    <t>ENSDARG00000092798</t>
  </si>
  <si>
    <t>peptidylprolyl isomerase B (cyclophilin B) [Source:ZFIN;Acc:ZDB-GENE-040426-1955]</t>
  </si>
  <si>
    <t>selm</t>
  </si>
  <si>
    <t>ENSDARG00000051957</t>
  </si>
  <si>
    <t>selenoprotein M [Source:ZFIN;Acc:ZDB-GENE-030410-4]</t>
  </si>
  <si>
    <t>rpl24</t>
  </si>
  <si>
    <t>ENSDARG00000099104</t>
  </si>
  <si>
    <t>ribosomal protein L24 [Source:ZFIN;Acc:ZDB-GENE-020419-25]</t>
  </si>
  <si>
    <t>sox21a</t>
  </si>
  <si>
    <t>ENSDARG00000031664</t>
  </si>
  <si>
    <t>SRY (sex determining region Y)-box 21a [Source:ZFIN;Acc:ZDB-GENE-990715-6]</t>
  </si>
  <si>
    <t>si:ch211-195b11.3</t>
  </si>
  <si>
    <t>ENSDARG00000100582</t>
  </si>
  <si>
    <t>si:ch211-195b11.3 [Source:ZFIN;Acc:ZDB-GENE-141222-6]</t>
  </si>
  <si>
    <t>rplp1</t>
  </si>
  <si>
    <t>ENSDARG00000021864</t>
  </si>
  <si>
    <t>ribosomal protein, large, P1 [Source:ZFIN;Acc:ZDB-GENE-030131-8663]</t>
  </si>
  <si>
    <t>tmsb</t>
  </si>
  <si>
    <t>ENSDARG00000054911</t>
  </si>
  <si>
    <t>thymosin, beta [Source:ZFIN;Acc:ZDB-GENE-050307-5]</t>
  </si>
  <si>
    <t>rpz5</t>
  </si>
  <si>
    <t>ENSDARG00000075718</t>
  </si>
  <si>
    <t>rapunzel 5 [Source:ZFIN;Acc:ZDB-GENE-030131-4678]</t>
  </si>
  <si>
    <t>pnrc2</t>
  </si>
  <si>
    <t>ENSDARG00000053291</t>
  </si>
  <si>
    <t>proline-rich nuclear receptor coactivator 2 [Source:ZFIN;Acc:ZDB-GENE-030131-5475]</t>
  </si>
  <si>
    <t>cldnh</t>
  </si>
  <si>
    <t>ENSDARG00000069503</t>
  </si>
  <si>
    <t>claudin h [Source:ZFIN;Acc:ZDB-GENE-010328-8]</t>
  </si>
  <si>
    <t>pabpc1b</t>
  </si>
  <si>
    <t>ENSDARG00000021140</t>
  </si>
  <si>
    <t>poly A binding protein, cytoplasmic 1 b [Source:ZFIN;Acc:ZDB-GENE-050308-1]</t>
  </si>
  <si>
    <t>cbln20</t>
  </si>
  <si>
    <t>ENSDARG00000087476</t>
  </si>
  <si>
    <t>cerebellin 20 [Source:ZFIN;Acc:ZDB-GENE-111109-2]</t>
  </si>
  <si>
    <t>higd1a</t>
  </si>
  <si>
    <t>ENSDARG00000022303</t>
  </si>
  <si>
    <t>HIG1 hypoxia inducible domain family, member 1A [Source:ZFIN;Acc:ZDB-GENE-030826-15]</t>
  </si>
  <si>
    <t>glulb</t>
  </si>
  <si>
    <t>ENSDARG00000100003</t>
  </si>
  <si>
    <t>glutamate-ammonia ligase (glutamine synthase) b [Source:ZFIN;Acc:ZDB-GENE-030131-8417]</t>
  </si>
  <si>
    <t>hsp90b1</t>
  </si>
  <si>
    <t>ENSDARG00000003570</t>
  </si>
  <si>
    <t>heat shock protein 90, beta (grp94), member 1 [Source:ZFIN;Acc:ZDB-GENE-031002-1]</t>
  </si>
  <si>
    <t>moxd1l</t>
  </si>
  <si>
    <t>ENSDARG00000069296</t>
  </si>
  <si>
    <t>monooxygenase, DBH-like 1, like [Source:ZFIN;Acc:ZDB-GENE-060126-3]</t>
  </si>
  <si>
    <t>ier2</t>
  </si>
  <si>
    <t>ENSDARG00000099195</t>
  </si>
  <si>
    <t>immediate early response 2 [Source:ZFIN;Acc:ZDB-GENE-030131-9126]</t>
  </si>
  <si>
    <t>pdia4</t>
  </si>
  <si>
    <t>ENSDARG00000018491</t>
  </si>
  <si>
    <t>protein disulfide isomerase family A, member 4 [Source:ZFIN;Acc:ZDB-GENE-030131-5493]</t>
  </si>
  <si>
    <t>eya1</t>
  </si>
  <si>
    <t>ENSDARG00000014259</t>
  </si>
  <si>
    <t>EYA transcriptional coactivator and phosphatase 1 [Source:ZFIN;Acc:ZDB-GENE-990712-18]</t>
  </si>
  <si>
    <t>fzd7b</t>
  </si>
  <si>
    <t>ENSDARG00000027589</t>
  </si>
  <si>
    <t>frizzled class receptor 7b [Source:ZFIN;Acc:ZDB-GENE-990415-229]</t>
  </si>
  <si>
    <t>wu:fj16a03</t>
  </si>
  <si>
    <t>ENSDARG00000100952</t>
  </si>
  <si>
    <t>wu:fj16a03 [Source:EntrezGene;Acc:335475]</t>
  </si>
  <si>
    <t>rpl34</t>
  </si>
  <si>
    <t>ENSDARG00000029500</t>
  </si>
  <si>
    <t>ribosomal protein L34 [Source:ZFIN;Acc:ZDB-GENE-040426-1033]</t>
  </si>
  <si>
    <t>fosab</t>
  </si>
  <si>
    <t>ENSDARG00000031683</t>
  </si>
  <si>
    <t>v-fos FBJ murine osteosarcoma viral oncogene homolog Ab [Source:ZFIN;Acc:ZDB-GENE-031222-4]</t>
  </si>
  <si>
    <t>RPL37A</t>
  </si>
  <si>
    <t>ENSDARG00000098458</t>
  </si>
  <si>
    <t>zgc:171772 [Source:ZFIN;Acc:ZDB-GENE-070928-31]</t>
  </si>
  <si>
    <t>rpl11</t>
  </si>
  <si>
    <t>ENSDARG00000043509</t>
  </si>
  <si>
    <t>ribosomal protein L11 [Source:ZFIN;Acc:ZDB-GENE-040625-147]</t>
  </si>
  <si>
    <t>si:ch211-229d2.5</t>
  </si>
  <si>
    <t>ENSDARG00000079119</t>
  </si>
  <si>
    <t>si:ch211-229d2.5 [Source:ZFIN;Acc:ZDB-GENE-121214-200]</t>
  </si>
  <si>
    <t>RPL29</t>
  </si>
  <si>
    <t>ENSDARG00000077717</t>
  </si>
  <si>
    <t>zgc:92868 [Source:ZFIN;Acc:ZDB-GENE-040801-167]</t>
  </si>
  <si>
    <t>calr3a</t>
  </si>
  <si>
    <t>ENSDARG00000103979</t>
  </si>
  <si>
    <t>calreticulin 3a [Source:ZFIN;Acc:ZDB-GENE-000208-17]</t>
  </si>
  <si>
    <t>rplp2</t>
  </si>
  <si>
    <t>ENSDARG00000101406</t>
  </si>
  <si>
    <t>ribosomal protein, large P2 [Source:ZFIN;Acc:ZDB-GENE-031018-2]</t>
  </si>
  <si>
    <t>si:dkey-151g10.6</t>
  </si>
  <si>
    <t>ENSDARG00000092807</t>
  </si>
  <si>
    <t>si:dkey-151g10.6 [Source:ZFIN;Acc:ZDB-GENE-030131-7528]</t>
  </si>
  <si>
    <t>tspan35</t>
  </si>
  <si>
    <t>ENSDARG00000025757</t>
  </si>
  <si>
    <t>tetraspanin 35 [Source:ZFIN;Acc:ZDB-GENE-040426-1362]</t>
  </si>
  <si>
    <t>krt15</t>
  </si>
  <si>
    <t>ENSDARG00000036840</t>
  </si>
  <si>
    <t>keratin 15 [Source:ZFIN;Acc:ZDB-GENE-040426-2931]</t>
  </si>
  <si>
    <t>rpl35a</t>
  </si>
  <si>
    <t>ENSDARG00000088030</t>
  </si>
  <si>
    <t>ribosomal protein L35a [Source:ZFIN;Acc:ZDB-GENE-040718-190]</t>
  </si>
  <si>
    <t>klf2a</t>
  </si>
  <si>
    <t>ENSDARG00000042667</t>
  </si>
  <si>
    <t>Kruppel-like factor 2a [Source:ZFIN;Acc:ZDB-GENE-011109-1]</t>
  </si>
  <si>
    <t>gsta.1</t>
  </si>
  <si>
    <t>ENSDARG00000090228</t>
  </si>
  <si>
    <t>glutathione S-transferase, alpha tandem duplicate 1 [Source:ZFIN;Acc:ZDB-GENE-040426-2720]</t>
  </si>
  <si>
    <t>si:dkey-16l2.20</t>
  </si>
  <si>
    <t>ENSDARG00000098191</t>
  </si>
  <si>
    <t>si:dkey-16l2.20 [Source:ZFIN;Acc:ZDB-GENE-141212-380]</t>
  </si>
  <si>
    <t>si:dkey-87o1.2</t>
  </si>
  <si>
    <t>ENSDARG00000095796</t>
  </si>
  <si>
    <t>si:dkey-87o1.2 [Source:ZFIN;Acc:ZDB-GENE-110411-217]</t>
  </si>
  <si>
    <t>rps28</t>
  </si>
  <si>
    <t>ENSDARG00000035860</t>
  </si>
  <si>
    <t>ribosomal protein S28 [Source:ZFIN;Acc:ZDB-GENE-030131-2022]</t>
  </si>
  <si>
    <t>rpl36</t>
  </si>
  <si>
    <t>ENSDARG00000100588</t>
  </si>
  <si>
    <t>ribosomal protein L36 [Source:ZFIN;Acc:ZDB-GENE-040622-2]</t>
  </si>
  <si>
    <t>slc1a3a</t>
  </si>
  <si>
    <t>ENSDARG00000104431</t>
  </si>
  <si>
    <t>solute carrier family 1 (glial high affinity glutamate transporter), member 3a [Source:ZFIN;Acc:ZDB-GENE-030131-2159]</t>
  </si>
  <si>
    <t>prss60.2</t>
  </si>
  <si>
    <t>ENSDARG00000055644</t>
  </si>
  <si>
    <t>protease, serine, 60.2 [Source:ZFIN;Acc:ZDB-GENE-050320-109]</t>
  </si>
  <si>
    <t>rpl18</t>
  </si>
  <si>
    <t>ENSDARG00000029533</t>
  </si>
  <si>
    <t>ribosomal protein L18 [Source:ZFIN;Acc:ZDB-GENE-040801-165]</t>
  </si>
  <si>
    <t>rpl26</t>
  </si>
  <si>
    <t>ENSDARG00000102317</t>
  </si>
  <si>
    <t>ribosomal protein L26 [Source:ZFIN;Acc:ZDB-GENE-040426-2117]</t>
  </si>
  <si>
    <t>rpl28</t>
  </si>
  <si>
    <t>ENSDARG00000005791</t>
  </si>
  <si>
    <t>ribosomal protein L28 [Source:ZFIN;Acc:ZDB-GENE-040930-10]</t>
  </si>
  <si>
    <t>rpl35</t>
  </si>
  <si>
    <t>ENSDARG00000018334</t>
  </si>
  <si>
    <t>ribosomal protein L35 [Source:ZFIN;Acc:ZDB-GENE-020419-2]</t>
  </si>
  <si>
    <t>si:dkey-152p16.6</t>
  </si>
  <si>
    <t>ENSDARG00000104181</t>
  </si>
  <si>
    <t>si:dkey-152p16.6 [Source:ZFIN;Acc:ZDB-GENE-030131-8575]</t>
  </si>
  <si>
    <t>cadm4</t>
  </si>
  <si>
    <t>ENSDARG00000040291</t>
  </si>
  <si>
    <t>cell adhesion molecule 4 [Source:ZFIN;Acc:ZDB-GENE-041114-138]</t>
  </si>
  <si>
    <t>rps8a</t>
  </si>
  <si>
    <t>ENSDARG00000055996</t>
  </si>
  <si>
    <t>ribosomal protein S8a [Source:ZFIN;Acc:ZDB-GENE-030131-8626]</t>
  </si>
  <si>
    <t>rps15a</t>
  </si>
  <si>
    <t>ENSDARG00000010160</t>
  </si>
  <si>
    <t>ribosomal protein S15a [Source:ZFIN;Acc:ZDB-GENE-030131-8708]</t>
  </si>
  <si>
    <t>rplp2l</t>
  </si>
  <si>
    <t>ENSDARG00000011201</t>
  </si>
  <si>
    <t>ribosomal protein, large P2, like [Source:ZFIN;Acc:ZDB-GENE-070327-2]</t>
  </si>
  <si>
    <t>rpl12</t>
  </si>
  <si>
    <t>ENSDARG00000006691</t>
  </si>
  <si>
    <t>ribosomal protein L12 [Source:ZFIN;Acc:ZDB-GENE-030131-5297]</t>
  </si>
  <si>
    <t>apodb</t>
  </si>
  <si>
    <t>ENSDARG00000057437</t>
  </si>
  <si>
    <t>apolipoprotein Db [Source:ZFIN;Acc:ZDB-GENE-051023-8]</t>
  </si>
  <si>
    <t>rpl38</t>
  </si>
  <si>
    <t>ENSDARG00000006413</t>
  </si>
  <si>
    <t>ribosomal protein L38 [Source:ZFIN;Acc:ZDB-GENE-030131-8752]</t>
  </si>
  <si>
    <t>rpl10a</t>
  </si>
  <si>
    <t>ENSDARG00000042905</t>
  </si>
  <si>
    <t>ribosomal protein L10a [Source:ZFIN;Acc:ZDB-GENE-030131-2025]</t>
  </si>
  <si>
    <t>si:dkey-33m11.8</t>
  </si>
  <si>
    <t>ENSDARG00000055014</t>
  </si>
  <si>
    <t>si:dkey-33m11.8 [Source:ZFIN;Acc:ZDB-GENE-141215-49]</t>
  </si>
  <si>
    <t>si:ch211-66i15.4 [Source:ZFIN;Acc:ZDB-GENE-090313-121]</t>
  </si>
  <si>
    <t>PIFO</t>
  </si>
  <si>
    <t>ENSDARG00000097071</t>
  </si>
  <si>
    <t>MKRN2 opposite strand, tandem duplicate 2 [Source:ZFIN;Acc:ZDB-GENE-160114-87]</t>
  </si>
  <si>
    <t>mkrn2os.2</t>
  </si>
  <si>
    <t>ENSDARG00000100728</t>
  </si>
  <si>
    <t>coiled-coil domain containing 173 [Source:ZFIN;Acc:ZDB-GENE-081104-457]</t>
  </si>
  <si>
    <t>ccdc173</t>
  </si>
  <si>
    <t>ENSDARG00000077928</t>
  </si>
  <si>
    <t>si:dkeyp-110e4.11 [Source:ZFIN;Acc:ZDB-GENE-070424-267]</t>
  </si>
  <si>
    <t>si:dkeyp-110e4.11</t>
  </si>
  <si>
    <t>ENSDARG00000071585</t>
  </si>
  <si>
    <t>neurexin 3b [Source:ZFIN;Acc:ZDB-GENE-070206-10]</t>
  </si>
  <si>
    <t>nrxn3b</t>
  </si>
  <si>
    <t>ENSDARG00000062693</t>
  </si>
  <si>
    <t>otoferlin a [Source:ZFIN;Acc:ZDB-GENE-030131-7778]</t>
  </si>
  <si>
    <t>otofa</t>
  </si>
  <si>
    <t>ENSDARG00000030832</t>
  </si>
  <si>
    <t>PR domain containing 1a, with ZNF domain [Source:ZFIN;Acc:ZDB-GENE-030131-2193]</t>
  </si>
  <si>
    <t>prdm1a</t>
  </si>
  <si>
    <t>ENSDARG00000002445</t>
  </si>
  <si>
    <t>G protein-coupled receptor 156 [Source:ZFIN;Acc:ZDB-GENE-060201-2]</t>
  </si>
  <si>
    <t>gpr156</t>
  </si>
  <si>
    <t>ENSDARG00000086215</t>
  </si>
  <si>
    <t>si:ch211-38m6.6 [Source:ZFIN;Acc:ZDB-GENE-070705-179]</t>
  </si>
  <si>
    <t>si:ch211-38m6.6</t>
  </si>
  <si>
    <t>ENSDARG00000076959</t>
  </si>
  <si>
    <t>BAI1-associated protein 2-like 2b [Source:ZFIN;Acc:ZDB-GENE-060503-339]</t>
  </si>
  <si>
    <t>baiap2l2b</t>
  </si>
  <si>
    <t>ENSDARG00000060933</t>
  </si>
  <si>
    <t>integral membrane protein 2Cb [Source:ZFIN;Acc:ZDB-GENE-030131-7806]</t>
  </si>
  <si>
    <t>itm2cb</t>
  </si>
  <si>
    <t>ENSDARG00000039650</t>
  </si>
  <si>
    <t>dynein, axonemal, light intermediate chain 1 [Source:ZFIN;Acc:ZDB-GENE-080204-7]</t>
  </si>
  <si>
    <t>dnali1</t>
  </si>
  <si>
    <t>ENSDARG00000069815</t>
  </si>
  <si>
    <t>forkhead box J1a [Source:ZFIN;Acc:ZDB-GENE-060929-1178]</t>
  </si>
  <si>
    <t>foxj1a</t>
  </si>
  <si>
    <t>ENSDARG00000101919</t>
  </si>
  <si>
    <t>RIB43A domain with coiled-coils 2 [Source:ZFIN;Acc:ZDB-GENE-050411-27]</t>
  </si>
  <si>
    <t>ribc2</t>
  </si>
  <si>
    <t>ENSDARG00000075177</t>
  </si>
  <si>
    <t>vesicle-associated membrane protein 2 [Source:ZFIN;Acc:ZDB-GENE-030131-8225]</t>
  </si>
  <si>
    <t>vamp2</t>
  </si>
  <si>
    <t>ENSDARG00000056877</t>
  </si>
  <si>
    <t>brain-derived neurotrophic factor [Source:ZFIN;Acc:ZDB-GENE-000412-1]</t>
  </si>
  <si>
    <t>bdnf</t>
  </si>
  <si>
    <t>ENSDARG00000018817</t>
  </si>
  <si>
    <t>amyloid beta (A4) precursor protein-binding, family A, member 1a [Source:ZFIN;Acc:ZDB-GENE-060526-175]</t>
  </si>
  <si>
    <t>apba1a</t>
  </si>
  <si>
    <t>ENSDARG00000103848</t>
  </si>
  <si>
    <t>zgc:171927 [Source:ZFIN;Acc:ZDB-GENE-070822-21]</t>
  </si>
  <si>
    <t>zgc:171927</t>
  </si>
  <si>
    <t>ENSDARG00000033056</t>
  </si>
  <si>
    <t>SRSF protein kinase 2 [Source:ZFIN;Acc:ZDB-GENE-131105-1]</t>
  </si>
  <si>
    <t>srpk2</t>
  </si>
  <si>
    <t>ENSDARG00000029368</t>
  </si>
  <si>
    <t>myosin VIb [Source:ZFIN;Acc:ZDB-GENE-030318-3]</t>
  </si>
  <si>
    <t>myo6b</t>
  </si>
  <si>
    <t>ENSDARG00000042141</t>
  </si>
  <si>
    <t>cilia and flagella associated protein 126 [Source:ZFIN;Acc:ZDB-GENE-060825-357]</t>
  </si>
  <si>
    <t>cfap126</t>
  </si>
  <si>
    <t>ENSDARG00000070868</t>
  </si>
  <si>
    <t>ankyrin repeat domain 45 [Source:ZFIN;Acc:ZDB-GENE-050522-311]</t>
  </si>
  <si>
    <t>ankrd45</t>
  </si>
  <si>
    <t>ENSDARG00000011326</t>
  </si>
  <si>
    <t>RIB43A domain with coiled-coils 1 [Source:ZFIN;Acc:ZDB-GENE-081031-7]</t>
  </si>
  <si>
    <t>ribc1</t>
  </si>
  <si>
    <t>ENSDARG00000055739</t>
  </si>
  <si>
    <t>zgc:171775 [Source:ZFIN;Acc:ZDB-GENE-030131-4309]</t>
  </si>
  <si>
    <t>zgc:171775</t>
  </si>
  <si>
    <t>ENSDARG00000058381</t>
  </si>
  <si>
    <t>si:ch211-193l2.10 [Source:ZFIN;Acc:ZDB-GENE-160114-52]</t>
  </si>
  <si>
    <t>si:ch211-193l2.10</t>
  </si>
  <si>
    <t>ENSDARG00000099903</t>
  </si>
  <si>
    <t>tumor protein D52-like 1 [Source:ZFIN;Acc:ZDB-GENE-050522-121]</t>
  </si>
  <si>
    <t>tpd52l1</t>
  </si>
  <si>
    <t>ENSDARG00000042548</t>
  </si>
  <si>
    <t>si:ch211-270n8.4 [Source:ZFIN;Acc:ZDB-GENE-081028-70]</t>
  </si>
  <si>
    <t>si:ch211-270n8.4</t>
  </si>
  <si>
    <t>ENSDARG00000094423</t>
  </si>
  <si>
    <t>CU856539.4</t>
  </si>
  <si>
    <t>ENSDARG00000090886</t>
  </si>
  <si>
    <t>heat shock factor binding protein 1a [Source:ZFIN;Acc:ZDB-GENE-050320-136]</t>
  </si>
  <si>
    <t>hsbp1a</t>
  </si>
  <si>
    <t>ENSDARG00000069425</t>
  </si>
  <si>
    <t>si:ch211-270n8.3 [Source:ZFIN;Acc:ZDB-GENE-081028-50]</t>
  </si>
  <si>
    <t>si:ch211-270n8.3</t>
  </si>
  <si>
    <t>ENSDARG00000093646</t>
  </si>
  <si>
    <t>lysosomal protein transmembrane 4 beta [Source:ZFIN;Acc:ZDB-GENE-030616-616]</t>
  </si>
  <si>
    <t>laptm4b</t>
  </si>
  <si>
    <t>ENSDARG00000035870</t>
  </si>
  <si>
    <t>LIM domain 7b [Source:ZFIN;Acc:ZDB-GENE-060825-242]</t>
  </si>
  <si>
    <t>lmo7b</t>
  </si>
  <si>
    <t>ENSDARG00000053535</t>
  </si>
  <si>
    <t>intraflagellar transport 27 homolog (Chlamydomonas) [Source:ZFIN;Acc:ZDB-GENE-041212-9]</t>
  </si>
  <si>
    <t>ift27</t>
  </si>
  <si>
    <t>ENSDARG00000099279</t>
  </si>
  <si>
    <t>si:dkeyp-75h12.2 [Source:ZFIN;Acc:ZDB-GENE-030131-7512]</t>
  </si>
  <si>
    <t>TESK1</t>
  </si>
  <si>
    <t>ENSDARG00000079281</t>
  </si>
  <si>
    <t>TESK1.1</t>
  </si>
  <si>
    <t>BX511021.2</t>
  </si>
  <si>
    <t>ENSDARG00000073936</t>
  </si>
  <si>
    <t>spermatogenesis associated 4 [Source:ZFIN;Acc:ZDB-GENE-050417-153]</t>
  </si>
  <si>
    <t>spata4</t>
  </si>
  <si>
    <t>ENSDARG00000036189</t>
  </si>
  <si>
    <t>coiled-coil domain containing 151 [Source:ZFIN;Acc:ZDB-GENE-061013-787]</t>
  </si>
  <si>
    <t>ccdc151</t>
  </si>
  <si>
    <t>ENSDARG00000062978</t>
  </si>
  <si>
    <t>ArfGAP with SH3 domain, ankyrin repeat and PH domain 1b [Source:ZFIN;Acc:ZDB-GENE-091112-16]</t>
  </si>
  <si>
    <t>asap1b</t>
  </si>
  <si>
    <t>ENSDARG00000039729</t>
  </si>
  <si>
    <t>si:ch211-163l21.7 [Source:ZFIN;Acc:ZDB-GENE-081105-176]</t>
  </si>
  <si>
    <t>si:ch211-163l21.7</t>
  </si>
  <si>
    <t>ENSDARG00000034457</t>
  </si>
  <si>
    <t>si:ch73-199k24.2 [Source:ZFIN;Acc:ZDB-GENE-131121-321]</t>
  </si>
  <si>
    <t>si:ch73-199k24.2</t>
  </si>
  <si>
    <t>ENSDARG00000089149</t>
  </si>
  <si>
    <t>heat shock protein 90, alpha (cytosolic), class A member 1, tandem duplicate 2 [Source:ZFIN;Acc:ZDB-GENE-031001-3]</t>
  </si>
  <si>
    <t>hsp90aa1.2</t>
  </si>
  <si>
    <t>ENSDARG00000024746</t>
  </si>
  <si>
    <t>calcium/calmodulin-dependent protein kinase II inhibitor 1a [Source:ZFIN;Acc:ZDB-GENE-050522-319]</t>
  </si>
  <si>
    <t>camk2n1a</t>
  </si>
  <si>
    <t>ENSDARG00000025855</t>
  </si>
  <si>
    <t>si:dkey-229d2.7 [Source:ZFIN;Acc:ZDB-GENE-060526-265]</t>
  </si>
  <si>
    <t>si:dkey-229d2.7</t>
  </si>
  <si>
    <t>ENSDARG00000092460</t>
  </si>
  <si>
    <t>si:dkey-27p23.3 [Source:ZFIN;Acc:ZDB-GENE-070705-453]</t>
  </si>
  <si>
    <t>si:dkey-27p23.3</t>
  </si>
  <si>
    <t>ENSDARG00000075714</t>
  </si>
  <si>
    <t>oxysterol binding protein-like 1A [Source:ZFIN;Acc:ZDB-GENE-050208-657]</t>
  </si>
  <si>
    <t>osbpl1a</t>
  </si>
  <si>
    <t>ENSDARG00000105147</t>
  </si>
  <si>
    <t>zgc:171713 [Source:ZFIN;Acc:ZDB-GENE-070820-17]</t>
  </si>
  <si>
    <t>CD37</t>
  </si>
  <si>
    <t>ENSDARG00000075515</t>
  </si>
  <si>
    <t>PARK2 co-regulated [Source:ZFIN;Acc:ZDB-GENE-041114-100]</t>
  </si>
  <si>
    <t>pacrg</t>
  </si>
  <si>
    <t>ENSDARG00000087556</t>
  </si>
  <si>
    <t>synuclein, beta [Source:ZFIN;Acc:ZDB-GENE-040426-1615]</t>
  </si>
  <si>
    <t>sncb</t>
  </si>
  <si>
    <t>ENSDARG00000104945</t>
  </si>
  <si>
    <t>tektin 4 [Source:ZFIN;Acc:ZDB-GENE-070410-98]</t>
  </si>
  <si>
    <t>tekt4</t>
  </si>
  <si>
    <t>ENSDARG00000028899</t>
  </si>
  <si>
    <t>eukaryotic translation elongation factor 1 alpha 1b [Source:ZFIN;Acc:ZDB-GENE-050417-327]</t>
  </si>
  <si>
    <t>eef1a1b</t>
  </si>
  <si>
    <t>ENSDARG00000069951</t>
  </si>
  <si>
    <t>glutaredoxin, cysteine rich 1 [Source:ZFIN;Acc:ZDB-GENE-070424-166]</t>
  </si>
  <si>
    <t>grxcr1</t>
  </si>
  <si>
    <t>ENSDARG00000069865</t>
  </si>
  <si>
    <t>si:ch211-147d7.5 [Source:ZFIN;Acc:ZDB-GENE-041014-353]</t>
  </si>
  <si>
    <t>si:ch211-147d7.5</t>
  </si>
  <si>
    <t>ENSDARG00000095457</t>
  </si>
  <si>
    <t>sperm autoantigenic protein 17 [Source:ZFIN;Acc:ZDB-GENE-061027-337]</t>
  </si>
  <si>
    <t>spa17</t>
  </si>
  <si>
    <t>ENSDARG00000069361</t>
  </si>
  <si>
    <t>radial spoke head 1 homolog (Chlamydomonas) [Source:HGNC Symbol;Acc:HGNC:12371]</t>
  </si>
  <si>
    <t>RSPH1</t>
  </si>
  <si>
    <t>ENSDARG00000102261</t>
  </si>
  <si>
    <t>aldolase C, fructose-bisphosphate, b [Source:ZFIN;Acc:ZDB-GENE-030821-1]</t>
  </si>
  <si>
    <t>aldocb</t>
  </si>
  <si>
    <t>ENSDARG00000019702</t>
  </si>
  <si>
    <t>tescalcin b [Source:ZFIN;Acc:ZDB-GENE-040426-1903]</t>
  </si>
  <si>
    <t>tescb</t>
  </si>
  <si>
    <t>ENSDARG00000030839</t>
  </si>
  <si>
    <t>transmembrane protein 178B [Source:ZFIN;Acc:ZDB-GENE-040718-92]</t>
  </si>
  <si>
    <t>tmem178b</t>
  </si>
  <si>
    <t>ENSDARG00000006747</t>
  </si>
  <si>
    <t>si:ch73-52e5.2 [Source:ZFIN;Acc:ZDB-GENE-070912-341]</t>
  </si>
  <si>
    <t>THEM6</t>
  </si>
  <si>
    <t>ENSDARG00000103914</t>
  </si>
  <si>
    <t>otoferlin b [Source:ZFIN;Acc:ZDB-GENE-110406-5]</t>
  </si>
  <si>
    <t>otofb</t>
  </si>
  <si>
    <t>ENSDARG00000020581</t>
  </si>
  <si>
    <t>chromosome 11 open reading frame 1 [Source:HGNC Symbol;Acc:HGNC:1163]</t>
  </si>
  <si>
    <t>C11orf1</t>
  </si>
  <si>
    <t>ENSDARG00000101743</t>
  </si>
  <si>
    <t>transmembrane protease, serine 3a [Source:ZFIN;Acc:ZDB-GENE-070912-70]</t>
  </si>
  <si>
    <t>tmprss3a</t>
  </si>
  <si>
    <t>ENSDARG00000053315</t>
  </si>
  <si>
    <t>si:ch211-57i17.5 [Source:ZFIN;Acc:ZDB-GENE-041014-39]</t>
  </si>
  <si>
    <t>si:ch211-57i17.5</t>
  </si>
  <si>
    <t>ENSDARG00000041375</t>
  </si>
  <si>
    <t>si:dkey-280e21.3 [Source:ZFIN;Acc:ZDB-GENE-140106-61]</t>
  </si>
  <si>
    <t>si:dkey-280e21.3</t>
  </si>
  <si>
    <t>ENSDARG00000056519</t>
  </si>
  <si>
    <t>family with sequence similarity 228, member A [Source:ZFIN;Acc:ZDB-GENE-041014-83]</t>
  </si>
  <si>
    <t>fam228a</t>
  </si>
  <si>
    <t>ENSDARG00000042936</t>
  </si>
  <si>
    <t>POU class 4 homeobox 1 [Source:ZFIN;Acc:ZDB-GENE-000523-2]</t>
  </si>
  <si>
    <t>pou4f1</t>
  </si>
  <si>
    <t>ENSDARG00000005559</t>
  </si>
  <si>
    <t>calmodulin-like 4a [Source:ZFIN;Acc:ZDB-GENE-081022-9]</t>
  </si>
  <si>
    <t>calml4a</t>
  </si>
  <si>
    <t>ENSDARG00000075800</t>
  </si>
  <si>
    <t>kinesin family member 1Aa [Source:ZFIN;Acc:ZDB-GENE-100913-3]</t>
  </si>
  <si>
    <t>kif1aa</t>
  </si>
  <si>
    <t>ENSDARG00000061817</t>
  </si>
  <si>
    <t>carboxypeptidase N, polypeptide 1 [Source:ZFIN;Acc:ZDB-GENE-030131-9116]</t>
  </si>
  <si>
    <t>cpn1</t>
  </si>
  <si>
    <t>ENSDARG00000096728</t>
  </si>
  <si>
    <t>cpn1.2</t>
  </si>
  <si>
    <t>growth factor independent 1A transcription repressor a [Source:ZFIN;Acc:ZDB-GENE-050522-534]</t>
  </si>
  <si>
    <t>gfi1aa</t>
  </si>
  <si>
    <t>ENSDARG00000020746</t>
  </si>
  <si>
    <t>small muscle protein, X-linked [Source:ZFIN;Acc:ZDB-GENE-040704-24]</t>
  </si>
  <si>
    <t>smpx</t>
  </si>
  <si>
    <t>ENSDARG00000045302</t>
  </si>
  <si>
    <t>somatostatin 6 [Source:ZFIN;Acc:ZDB-GENE-081022-199]</t>
  </si>
  <si>
    <t>sst6</t>
  </si>
  <si>
    <t>ENSDARG00000093804</t>
  </si>
  <si>
    <t>si:dkey-42p14.3 [Source:ZFIN;Acc:ZDB-GENE-041111-13]</t>
  </si>
  <si>
    <t>EFCAB10</t>
  </si>
  <si>
    <t>ENSDARG00000092825</t>
  </si>
  <si>
    <t>ATPase, Na+/K+ transporting, alpha 3b polypeptide [Source:ZFIN;Acc:ZDB-GENE-001212-8]</t>
  </si>
  <si>
    <t>atp1a3b</t>
  </si>
  <si>
    <t>ENSDARG00000104139</t>
  </si>
  <si>
    <t>leucine rich repeat containing 73 [Source:ZFIN;Acc:ZDB-GENE-111118-2]</t>
  </si>
  <si>
    <t>lrrc73</t>
  </si>
  <si>
    <t>ENSDARG00000063411</t>
  </si>
  <si>
    <t>si:dkey-85p17.3 [Source:ZFIN;Acc:ZDB-GENE-141219-8]</t>
  </si>
  <si>
    <t>RASSF5</t>
  </si>
  <si>
    <t>ENSDARG00000070601</t>
  </si>
  <si>
    <t>secretogranin V [Source:ZFIN;Acc:ZDB-GENE-040426-1687]</t>
  </si>
  <si>
    <t>scg5</t>
  </si>
  <si>
    <t>ENSDARG00000077045</t>
  </si>
  <si>
    <t>scg5.1</t>
  </si>
  <si>
    <t>ATPase, Na+/K+ transporting, beta 2b polypeptide [Source:ZFIN;Acc:ZDB-GENE-010718-1]</t>
  </si>
  <si>
    <t>atp1b2b</t>
  </si>
  <si>
    <t>ENSDARG00000034424</t>
  </si>
  <si>
    <t>twinfilin actin-binding protein 2b [Source:ZFIN;Acc:ZDB-GENE-050522-238]</t>
  </si>
  <si>
    <t>twf2b</t>
  </si>
  <si>
    <t>ENSDARG00000009727</t>
  </si>
  <si>
    <t>NME/NM23 family member 5 [Source:ZFIN;Acc:ZDB-GENE-040718-221]</t>
  </si>
  <si>
    <t>nme5</t>
  </si>
  <si>
    <t>ENSDARG00000041617</t>
  </si>
  <si>
    <t>ATPase, H+ transporting, lysosomal, V0 subunit cb [Source:ZFIN;Acc:ZDB-GENE-030131-4127]</t>
  </si>
  <si>
    <t>atp6v0cb</t>
  </si>
  <si>
    <t>ENSDARG00000036577</t>
  </si>
  <si>
    <t>lipoma HMGIC fusion partner-like 5b [Source:ZFIN;Acc:ZDB-GENE-080220-51]</t>
  </si>
  <si>
    <t>lhfpl5b</t>
  </si>
  <si>
    <t>ENSDARG00000056458</t>
  </si>
  <si>
    <t>RNA binding motif protein 24a [Source:ZFIN;Acc:ZDB-GENE-040628-1]</t>
  </si>
  <si>
    <t>rbm24a</t>
  </si>
  <si>
    <t>ENSDARG00000102995</t>
  </si>
  <si>
    <t>neuroplastin a [Source:ZFIN;Acc:ZDB-GENE-030804-7]</t>
  </si>
  <si>
    <t>nptna</t>
  </si>
  <si>
    <t>ENSDARG00000103002</t>
  </si>
  <si>
    <t>si:ch211-284k5.2 [Source:ZFIN;Acc:ZDB-GENE-131127-514]</t>
  </si>
  <si>
    <t>si:ch211-284k5.2</t>
  </si>
  <si>
    <t>ENSDARG00000101455</t>
  </si>
  <si>
    <t>hydroxysteroid (17-beta) dehydrogenase 7 [Source:ZFIN;Acc:ZDB-GENE-061013-378]</t>
  </si>
  <si>
    <t>hsd17b7</t>
  </si>
  <si>
    <t>ENSDARG00000088140</t>
  </si>
  <si>
    <t>GIPC PDZ domain containing family, member 3 [Source:ZFIN;Acc:ZDB-GENE-060616-326]</t>
  </si>
  <si>
    <t>gipc3</t>
  </si>
  <si>
    <t>ENSDARG00000053074</t>
  </si>
  <si>
    <t>tetraspanin 13b [Source:ZFIN;Acc:ZDB-GENE-041010-45]</t>
  </si>
  <si>
    <t>tspan13b</t>
  </si>
  <si>
    <t>ENSDARG00000070479</t>
  </si>
  <si>
    <t>SH3-domain GRB2-like endophilin B2b [Source:ZFIN;Acc:ZDB-GENE-040426-833]</t>
  </si>
  <si>
    <t>sh3glb2b</t>
  </si>
  <si>
    <t>ENSDARG00000035470</t>
  </si>
  <si>
    <t>tektin 1 [Source:ZFIN;Acc:ZDB-GENE-041114-99]</t>
  </si>
  <si>
    <t>tekt1</t>
  </si>
  <si>
    <t>ENSDARG00000101331</t>
  </si>
  <si>
    <t>Enah/Vasp-like b [Source:ZFIN;Acc:ZDB-GENE-040426-1804]</t>
  </si>
  <si>
    <t>evlb</t>
  </si>
  <si>
    <t>ENSDARG00000099720</t>
  </si>
  <si>
    <t>meiosis/spermiogenesis associated 1 [Source:ZFIN;Acc:ZDB-GENE-050320-33]</t>
  </si>
  <si>
    <t>meig1</t>
  </si>
  <si>
    <t>ENSDARG00000045705</t>
  </si>
  <si>
    <t>tubulin, alpha 1a [Source:ZFIN;Acc:ZDB-GENE-090507-4]</t>
  </si>
  <si>
    <t>tuba1a</t>
  </si>
  <si>
    <t>ENSDARG00000001889</t>
  </si>
  <si>
    <t>ATPase, Ca++ transporting, plasma membrane 1a [Source:ZFIN;Acc:ZDB-GENE-030925-29]</t>
  </si>
  <si>
    <t>atp2b1a</t>
  </si>
  <si>
    <t>ENSDARG00000012684</t>
  </si>
  <si>
    <t>tubulin, alpha 1c [Source:ZFIN;Acc:ZDB-GENE-061114-1]</t>
  </si>
  <si>
    <t>tuba1c</t>
  </si>
  <si>
    <t>ENSDARG00000055216</t>
  </si>
  <si>
    <t>DnaJ (Hsp40) homolog, subfamily C, member 5 beta [Source:ZFIN;Acc:ZDB-GENE-050413-1]</t>
  </si>
  <si>
    <t>dnajc5b</t>
  </si>
  <si>
    <t>ENSDARG00000058147</t>
  </si>
  <si>
    <t>dynein assembly factor with WDR repeat domains 1 [Source:ZFIN;Acc:ZDB-GENE-050419-255]</t>
  </si>
  <si>
    <t>daw1</t>
  </si>
  <si>
    <t>ENSDARG00000021462</t>
  </si>
  <si>
    <t>enkurin, TRPC channel interacting protein [Source:ZFIN;Acc:ZDB-GENE-070718-1]</t>
  </si>
  <si>
    <t>enkur</t>
  </si>
  <si>
    <t>ENSDARG00000031248</t>
  </si>
  <si>
    <t>si:dkey-16m19.1</t>
  </si>
  <si>
    <t>ENSDARG00000097176</t>
  </si>
  <si>
    <t>si:ch211-261c8.5 [Source:ZFIN;Acc:ZDB-GENE-070705-158]</t>
  </si>
  <si>
    <t>EMB</t>
  </si>
  <si>
    <t>ENSDARG00000059485</t>
  </si>
  <si>
    <t>transmembrane channel-like 2b [Source:ZFIN;Acc:ZDB-GENE-060526-262]</t>
  </si>
  <si>
    <t>tmc2b</t>
  </si>
  <si>
    <t>ENSDARG00000030311</t>
  </si>
  <si>
    <t>glutamate-rich 3 [Source:ZFIN;Acc:ZDB-GENE-070209-295]</t>
  </si>
  <si>
    <t>erich3</t>
  </si>
  <si>
    <t>ENSDARG00000069262</t>
  </si>
  <si>
    <t>branched chain amino-acid transaminase 2, mitochondrial [Source:ZFIN;Acc:ZDB-GENE-040718-425]</t>
  </si>
  <si>
    <t>bcat2</t>
  </si>
  <si>
    <t>ENSDARG00000054849</t>
  </si>
  <si>
    <t>hydroxyacyl-CoA dehydrogenase/3-ketoacyl-CoA thiolase/enoyl-CoA hydratase (trifunctional protein), alpha subunit a [Source:ZFIN;Acc:ZDB-GENE-031222-5]</t>
  </si>
  <si>
    <t>hadhaa</t>
  </si>
  <si>
    <t>ENSDARG00000057128</t>
  </si>
  <si>
    <t>iron-sulfur cluster assembly 2 [Source:ZFIN;Acc:ZDB-GENE-131121-486]</t>
  </si>
  <si>
    <t>isca2</t>
  </si>
  <si>
    <t>ENSDARG00000038154</t>
  </si>
  <si>
    <t>cytochrome P450, family 39, subfamily A, polypeptide 1 [Source:ZFIN;Acc:ZDB-GENE-041014-339]</t>
  </si>
  <si>
    <t>cyp39a1</t>
  </si>
  <si>
    <t>ENSDARG00000017982</t>
  </si>
  <si>
    <t>ATPase, H+ transporting, lysosomal V0 subunit a1a [Source:ZFIN;Acc:ZDB-GENE-030131-3027]</t>
  </si>
  <si>
    <t>atp6v0a1a</t>
  </si>
  <si>
    <t>ENSDARG00000020847</t>
  </si>
  <si>
    <t>oxysterol binding protein 2 [Source:ZFIN;Acc:ZDB-GENE-091113-18]</t>
  </si>
  <si>
    <t>osbp2</t>
  </si>
  <si>
    <t>ENSDARG00000053487</t>
  </si>
  <si>
    <t>ndrg family member 3b [Source:ZFIN;Acc:ZDB-GENE-030131-5606]</t>
  </si>
  <si>
    <t>ndrg3b</t>
  </si>
  <si>
    <t>ENSDARG00000010052</t>
  </si>
  <si>
    <t>hydroxy-delta-5-steroid dehydrogenase, 3 beta- and steroid delta-isomerase [Source:ZFIN;Acc:ZDB-GENE-030131-5673]</t>
  </si>
  <si>
    <t>hsd3b7</t>
  </si>
  <si>
    <t>ENSDARG00000036966</t>
  </si>
  <si>
    <t>microfibrillar-associated protein 3-like [Source:ZFIN;Acc:ZDB-GENE-111229-2]</t>
  </si>
  <si>
    <t>mfap3l</t>
  </si>
  <si>
    <t>ENSDARG00000062752</t>
  </si>
  <si>
    <t>lipase, gastric [Source:ZFIN;Acc:ZDB-GENE-040426-2737]</t>
  </si>
  <si>
    <t>lipf</t>
  </si>
  <si>
    <t>ENSDARG00000018529</t>
  </si>
  <si>
    <t>fascin actin-bundling protein 2b, retinal [Source:ZFIN;Acc:ZDB-GENE-040426-1740]</t>
  </si>
  <si>
    <t>fscn2b</t>
  </si>
  <si>
    <t>ENSDARG00000074396</t>
  </si>
  <si>
    <t>zgc:153867 [Source:ZFIN;Acc:ZDB-GENE-030131-9170]</t>
  </si>
  <si>
    <t>zgc:153867</t>
  </si>
  <si>
    <t>ENSDARG00000033738</t>
  </si>
  <si>
    <t>transmembrane BAX inhibitor motif containing 4 [Source:ZFIN;Acc:ZDB-GENE-040426-2152]</t>
  </si>
  <si>
    <t>tmbim4</t>
  </si>
  <si>
    <t>ENSDARG00000014361</t>
  </si>
  <si>
    <t>fucosyltransferase 8a (alpha (1,6) fucosyltransferase) [Source:ZFIN;Acc:ZDB-GENE-031118-20]</t>
  </si>
  <si>
    <t>fut8a</t>
  </si>
  <si>
    <t>ENSDARG00000015449</t>
  </si>
  <si>
    <t>pyruvate kinase, muscle, a [Source:ZFIN;Acc:ZDB-GENE-031201-4]</t>
  </si>
  <si>
    <t>pkma</t>
  </si>
  <si>
    <t>ENSDARG00000099730</t>
  </si>
  <si>
    <t>SH2 domain containing 4Ba [Source:ZFIN;Acc:ZDB-GENE-090313-53]</t>
  </si>
  <si>
    <t>sh2d4ba</t>
  </si>
  <si>
    <t>ENSDARG00000069374</t>
  </si>
  <si>
    <t>FXYD domain containing ion transport regulator 1 (phospholemman) [Source:ZFIN;Acc:ZDB-GENE-050309-14]</t>
  </si>
  <si>
    <t>fxyd1</t>
  </si>
  <si>
    <t>ENSDARG00000099014</t>
  </si>
  <si>
    <t>retinol saturase (all-trans-retinol 13,14-reductase) [Source:ZFIN;Acc:ZDB-GENE-050320-11]</t>
  </si>
  <si>
    <t>retsat</t>
  </si>
  <si>
    <t>ENSDARG00000018600</t>
  </si>
  <si>
    <t>zgc:113691 [Source:ZFIN;Acc:ZDB-GENE-050220-7]</t>
  </si>
  <si>
    <t>zgc:113691</t>
  </si>
  <si>
    <t>ENSDARG00000038898</t>
  </si>
  <si>
    <t>insulin-like growth factor binding protein 5b [Source:ZFIN;Acc:ZDB-GENE-040319-2]</t>
  </si>
  <si>
    <t>igfbp5b</t>
  </si>
  <si>
    <t>ENSDARG00000025348</t>
  </si>
  <si>
    <t>si:ch211-160j14.2 [Source:ZFIN;Acc:ZDB-GENE-091118-113]</t>
  </si>
  <si>
    <t>CYSTM1</t>
  </si>
  <si>
    <t>ENSDARG00000073961</t>
  </si>
  <si>
    <t>TBC1 domain family, member 14 [Source:ZFIN;Acc:ZDB-GENE-030131-6136]</t>
  </si>
  <si>
    <t>tbc1d14</t>
  </si>
  <si>
    <t>ENSDARG00000003520</t>
  </si>
  <si>
    <t>solute carrier family 44 (choline transporter), member 2 [Source:ZFIN;Acc:ZDB-GENE-030131-3065]</t>
  </si>
  <si>
    <t>slc44a2</t>
  </si>
  <si>
    <t>ENSDARG00000037059</t>
  </si>
  <si>
    <t>si:ch211-218o21.4 [Source:ZFIN;Acc:ZDB-GENE-081104-178]</t>
  </si>
  <si>
    <t>si:ch211-218o21.4</t>
  </si>
  <si>
    <t>ENSDARG00000079869</t>
  </si>
  <si>
    <t>coiled-coil domain containing 105 [Source:ZFIN;Acc:ZDB-GENE-131121-219]</t>
  </si>
  <si>
    <t>ccdc105</t>
  </si>
  <si>
    <t>ENSDARG00000054136</t>
  </si>
  <si>
    <t>staufen double-stranded RNA binding protein 2 [Source:ZFIN;Acc:ZDB-GENE-040426-687]</t>
  </si>
  <si>
    <t>stau2</t>
  </si>
  <si>
    <t>ENSDARG00000026801</t>
  </si>
  <si>
    <t>adiponectin receptor 2 [Source:ZFIN;Acc:ZDB-GENE-041210-60]</t>
  </si>
  <si>
    <t>adipor2</t>
  </si>
  <si>
    <t>ENSDARG00000101849</t>
  </si>
  <si>
    <t>selenoprotein W, 1 [Source:ZFIN;Acc:ZDB-GENE-030410-5]</t>
  </si>
  <si>
    <t>sepw1</t>
  </si>
  <si>
    <t>ENSDARG00000035136</t>
  </si>
  <si>
    <t>transmembrane protein 240b [Source:ZFIN;Acc:ZDB-GENE-131127-474]</t>
  </si>
  <si>
    <t>tmem240b</t>
  </si>
  <si>
    <t>ENSDARG00000090145</t>
  </si>
  <si>
    <t>jun proto-oncogene [Source:ZFIN;Acc:ZDB-GENE-030131-7859]</t>
  </si>
  <si>
    <t>jun</t>
  </si>
  <si>
    <t>ENSDARG00000043531</t>
  </si>
  <si>
    <t>HECT and RLD domain containing E3 ubiquitin protein ligase family member 1 [Source:ZFIN;Acc:ZDB-GENE-030131-8542]</t>
  </si>
  <si>
    <t>herc1</t>
  </si>
  <si>
    <t>ENSDARG00000077901</t>
  </si>
  <si>
    <t>zgc:158852 [Source:ZFIN;Acc:ZDB-GENE-070112-972]</t>
  </si>
  <si>
    <t>zgc:158852</t>
  </si>
  <si>
    <t>ENSDARG00000102076</t>
  </si>
  <si>
    <t>RAB11 family interacting protein 1 (class I) b [Source:ZFIN;Acc:ZDB-GENE-091204-322]</t>
  </si>
  <si>
    <t>rab11fip1b</t>
  </si>
  <si>
    <t>ENSDARG00000036462</t>
  </si>
  <si>
    <t>DNA-damage-inducible transcript 3 [Source:ZFIN;Acc:ZDB-GENE-070410-90]</t>
  </si>
  <si>
    <t>ddit3</t>
  </si>
  <si>
    <t>ENSDARG00000059836</t>
  </si>
  <si>
    <t>transmembrane protein 59 [Source:ZFIN;Acc:ZDB-GENE-070912-397]</t>
  </si>
  <si>
    <t>tmem59</t>
  </si>
  <si>
    <t>ENSDARG00000019033</t>
  </si>
  <si>
    <t>UDP-N-acetyl-alpha-D-galactosamine:polypeptide N-acetylgalactosaminyltransferase 11 (GalNAc-T11) [Source:ZFIN;Acc:ZDB-GENE-060929-998]</t>
  </si>
  <si>
    <t>galnt11</t>
  </si>
  <si>
    <t>ENSDARG00000063636</t>
  </si>
  <si>
    <t>RAS (RAD and GEM)-like GTP-binding 1 [Source:ZFIN;Acc:ZDB-GENE-040317-1]</t>
  </si>
  <si>
    <t>rem1</t>
  </si>
  <si>
    <t>ENSDARG00000020544</t>
  </si>
  <si>
    <t>zgc:173593 [Source:ZFIN;Acc:ZDB-GENE-071004-57]</t>
  </si>
  <si>
    <t>zgc:173593</t>
  </si>
  <si>
    <t>ENSDARG00000077360</t>
  </si>
  <si>
    <t>capping protein (actin filament), gelsolin-like b [Source:ZFIN;Acc:ZDB-GENE-030131-8541]</t>
  </si>
  <si>
    <t>capgb</t>
  </si>
  <si>
    <t>ENSDARG00000099672</t>
  </si>
  <si>
    <t>zgc:92066 [Source:ZFIN;Acc:ZDB-GENE-040718-72]</t>
  </si>
  <si>
    <t>zgc:92066</t>
  </si>
  <si>
    <t>ENSDARG00000031776</t>
  </si>
  <si>
    <t>SIX homeobox 2b [Source:ZFIN;Acc:ZDB-GENE-080723-23]</t>
  </si>
  <si>
    <t>six2b</t>
  </si>
  <si>
    <t>ENSDARG00000054878</t>
  </si>
  <si>
    <t>tripartite motif containing 36 [Source:ZFIN;Acc:ZDB-GENE-040426-2936]</t>
  </si>
  <si>
    <t>trim36</t>
  </si>
  <si>
    <t>ENSDARG00000062794</t>
  </si>
  <si>
    <t>si:dkey-25g12.4 [Source:ZFIN;Acc:ZDB-GENE-160113-73]</t>
  </si>
  <si>
    <t>DCDC2C</t>
  </si>
  <si>
    <t>ENSDARG00000103264</t>
  </si>
  <si>
    <t>GABA(A) receptor-associated protein like 2 [Source:ZFIN;Acc:ZDB-GENE-040718-336]</t>
  </si>
  <si>
    <t>gabarapl2</t>
  </si>
  <si>
    <t>ENSDARG00000027200</t>
  </si>
  <si>
    <t>chloride intracellular channel 5b [Source:ZFIN;Acc:ZDB-GENE-040426-2542]</t>
  </si>
  <si>
    <t>clic5b</t>
  </si>
  <si>
    <t>ENSDARG00000070584</t>
  </si>
  <si>
    <t>si:ch211-150j10.4 [Source:ZFIN;Acc:ZDB-GENE-110411-215]</t>
  </si>
  <si>
    <t>si:ch211-150j10.4</t>
  </si>
  <si>
    <t>ENSDARG00000079336</t>
  </si>
  <si>
    <t>distal-less homeobox 3b [Source:ZFIN;Acc:ZDB-GENE-980526-280]</t>
  </si>
  <si>
    <t>dlx3b</t>
  </si>
  <si>
    <t>ENSDARG00000014626</t>
  </si>
  <si>
    <t>sortilin 1b [Source:ZFIN;Acc:ZDB-GENE-030131-7447]</t>
  </si>
  <si>
    <t>sort1b</t>
  </si>
  <si>
    <t>ENSDARG00000056252</t>
  </si>
  <si>
    <t>si:ch211-145b13.5 [Source:ZFIN;Acc:ZDB-GENE-090313-35]</t>
  </si>
  <si>
    <t>si:ch211-145b13.5</t>
  </si>
  <si>
    <t>ENSDARG00000037256</t>
  </si>
  <si>
    <t>ornithine decarboxylase antizyme 2a [Source:ZFIN;Acc:ZDB-GENE-121005-1]</t>
  </si>
  <si>
    <t>oaz2a</t>
  </si>
  <si>
    <t>ENSDARG00000045929</t>
  </si>
  <si>
    <t>ATPase, H+ transporting, lysosomal, V1 subunit C2 [Source:ZFIN;Acc:ZDB-GENE-131127-65]</t>
  </si>
  <si>
    <t>atp6v1c2</t>
  </si>
  <si>
    <t>ENSDARG00000070440</t>
  </si>
  <si>
    <t>si:ch211-255p10.3 [Source:ZFIN;Acc:ZDB-GENE-121214-339]</t>
  </si>
  <si>
    <t>si:ch211-255p10.3</t>
  </si>
  <si>
    <t>ENSDARG00000096616</t>
  </si>
  <si>
    <t>transducer of ERBB2, 1b [Source:ZFIN;Acc:ZDB-GENE-040426-2151]</t>
  </si>
  <si>
    <t>tob1b</t>
  </si>
  <si>
    <t>ENSDARG00000021372</t>
  </si>
  <si>
    <t>calmodulin 1b [Source:ZFIN;Acc:ZDB-GENE-030804-2]</t>
  </si>
  <si>
    <t>calm1b</t>
  </si>
  <si>
    <t>ENSDARG00000034187</t>
  </si>
  <si>
    <t>RAS, dexamethasone-induced 1 [Source:ZFIN;Acc:ZDB-GENE-040426-1473]</t>
  </si>
  <si>
    <t>rasd1</t>
  </si>
  <si>
    <t>ENSDARG00000019274</t>
  </si>
  <si>
    <t>nuclear factor, erythroid 2-like 2a [Source:ZFIN;Acc:ZDB-GENE-030723-2]</t>
  </si>
  <si>
    <t>nfe2l2a</t>
  </si>
  <si>
    <t>ENSDARG00000042824</t>
  </si>
  <si>
    <t>CABZ01067746.1</t>
  </si>
  <si>
    <t>ENSDARG00000086059</t>
  </si>
  <si>
    <t>zgc:109934 [Source:ZFIN;Acc:ZDB-GENE-050522-428]</t>
  </si>
  <si>
    <t>zgc:109934</t>
  </si>
  <si>
    <t>ENSDARG00000094210</t>
  </si>
  <si>
    <t>si:dkeyp-46h3.1</t>
  </si>
  <si>
    <t>ENSDARG00000094407</t>
  </si>
  <si>
    <t>glutathione peroxidase 1b [Source:ZFIN;Acc:ZDB-GENE-040912-60]</t>
  </si>
  <si>
    <t>gpx1b</t>
  </si>
  <si>
    <t>ENSDARG00000006207</t>
  </si>
  <si>
    <t>si:dkey-11c5.11 [Source:ZFIN;Acc:ZDB-GENE-121214-253]</t>
  </si>
  <si>
    <t>si:dkey-11c5.11</t>
  </si>
  <si>
    <t>ENSDARG00000096637</t>
  </si>
  <si>
    <t>calcium binding protein 2b [Source:ZFIN;Acc:ZDB-GENE-081028-55]</t>
  </si>
  <si>
    <t>cabp2b</t>
  </si>
  <si>
    <t>ENSDARG00000052277</t>
  </si>
  <si>
    <t>inhibitor of DNA binding 2, dominant negative helix-loop-helix protein, a [Source:ZFIN;Acc:ZDB-GENE-020910-1]</t>
  </si>
  <si>
    <t>id2a</t>
  </si>
  <si>
    <t>ENSDARG00000055283</t>
  </si>
  <si>
    <t>tetraspanin 3a [Source:ZFIN;Acc:ZDB-GENE-030131-7787]</t>
  </si>
  <si>
    <t>tspan3a</t>
  </si>
  <si>
    <t>ENSDARG00000034753</t>
  </si>
  <si>
    <t>abhydrolase domain containing 2b [Source:ZFIN;Acc:ZDB-GENE-061027-74]</t>
  </si>
  <si>
    <t>abhd2b</t>
  </si>
  <si>
    <t>ENSDARG00000045804</t>
  </si>
  <si>
    <t>CCR4-NOT transcription complex, subunit 10 [Source:ZFIN;Acc:ZDB-GENE-060929-368]</t>
  </si>
  <si>
    <t>cnot10</t>
  </si>
  <si>
    <t>ENSDARG00000058528</t>
  </si>
  <si>
    <t>zgc:110183 [Source:ZFIN;Acc:ZDB-GENE-050417-380]</t>
  </si>
  <si>
    <t>ODF3L2</t>
  </si>
  <si>
    <t>ENSDARG00000014209</t>
  </si>
  <si>
    <t>reticulon 4 receptor-like 2b [Source:ZFIN;Acc:ZDB-GENE-040310-2]</t>
  </si>
  <si>
    <t>rtn4rl2b</t>
  </si>
  <si>
    <t>ENSDARG00000037495</t>
  </si>
  <si>
    <t>tektin 3 [Source:ZFIN;Acc:ZDB-GENE-080130-2]</t>
  </si>
  <si>
    <t>tekt3</t>
  </si>
  <si>
    <t>ENSDARG00000045038</t>
  </si>
  <si>
    <t>si:dkey-16p21.8 [Source:ZFIN;Acc:ZDB-GENE-131121-428]</t>
  </si>
  <si>
    <t>si:dkey-16p21.8</t>
  </si>
  <si>
    <t>ENSDARG00000096849</t>
  </si>
  <si>
    <t>myeloid cell leukemia 1a [Source:ZFIN;Acc:ZDB-GENE-000511-7]</t>
  </si>
  <si>
    <t>mcl1a</t>
  </si>
  <si>
    <t>ENSDARG00000009779</t>
  </si>
  <si>
    <t>si:ch211-172l8.4 [Source:ZFIN;Acc:ZDB-GENE-131127-224]</t>
  </si>
  <si>
    <t>si:ch211-172l8.4</t>
  </si>
  <si>
    <t>ENSDARG00000101577</t>
  </si>
  <si>
    <t>annexin A5a [Source:ZFIN;Acc:ZDB-GENE-080220-29]</t>
  </si>
  <si>
    <t>anxa5a</t>
  </si>
  <si>
    <t>ENSDARG00000026406</t>
  </si>
  <si>
    <t>parvalbumin 8 [Source:ZFIN;Acc:ZDB-GENE-030805-3]</t>
  </si>
  <si>
    <t>pvalb8</t>
  </si>
  <si>
    <t>ENSDARG00000037790</t>
  </si>
  <si>
    <t>ribosomal protein L17 [Source:ZFIN;Acc:ZDB-GENE-030131-8585]</t>
  </si>
  <si>
    <t>rpl17</t>
  </si>
  <si>
    <t>ENSDARG00000057556</t>
  </si>
  <si>
    <t>growth arrest and DNA-damage-inducible, gamma b, tandem duplicate 1 [Source:ZFIN;Acc:ZDB-GENE-040426-2321]</t>
  </si>
  <si>
    <t>gadd45gb.1</t>
  </si>
  <si>
    <t>ENSDARG00000016725</t>
  </si>
  <si>
    <t>H3 histone, family 3B.1 [Source:ZFIN;Acc:ZDB-GENE-050417-65]</t>
  </si>
  <si>
    <t>h3f3b.1</t>
  </si>
  <si>
    <t>ENSDARG00000045248</t>
  </si>
  <si>
    <t>v-myc avian myelocytomatosis viral oncogene lung carcinoma derived homolog b [Source:ZFIN;Acc:ZDB-GENE-030131-5561]</t>
  </si>
  <si>
    <t>myclb</t>
  </si>
  <si>
    <t>ENSDARG00000034956</t>
  </si>
  <si>
    <t>synaptotagmin binding, cytoplasmic RNA interacting protein [Source:ZFIN;Acc:ZDB-GENE-030131-4862]</t>
  </si>
  <si>
    <t>syncrip</t>
  </si>
  <si>
    <t>ENSDARG00000040184</t>
  </si>
  <si>
    <t>small nuclear ribonucleoprotein polypeptide E [Source:ZFIN;Acc:ZDB-GENE-040426-1112]</t>
  </si>
  <si>
    <t>snrpe</t>
  </si>
  <si>
    <t>ENSDARG00000033175</t>
  </si>
  <si>
    <t>ribosomal protein L22-like 1 [Source:ZFIN;Acc:ZDB-GENE-060804-3]</t>
  </si>
  <si>
    <t>rpl22l1</t>
  </si>
  <si>
    <t>ENSDARG00000010244</t>
  </si>
  <si>
    <t>eukaryotic translation elongation factor 1 beta 2 [Source:ZFIN;Acc:ZDB-GENE-030131-7310]</t>
  </si>
  <si>
    <t>eef1b2</t>
  </si>
  <si>
    <t>ENSDARG00000044521</t>
  </si>
  <si>
    <t>small nuclear ribonucleoprotein polypeptide F [Source:ZFIN;Acc:ZDB-GENE-040930-9]</t>
  </si>
  <si>
    <t>snrpf</t>
  </si>
  <si>
    <t>ENSDARG00000105037</t>
  </si>
  <si>
    <t>si:ch211-163l21.4 [Source:ZFIN;Acc:ZDB-GENE-081105-161]</t>
  </si>
  <si>
    <t>si:ch211-163l21.4</t>
  </si>
  <si>
    <t>ENSDARG00000078155</t>
  </si>
  <si>
    <t>proteasome subunit beta 7 [Source:ZFIN;Acc:ZDB-GENE-001208-4]</t>
  </si>
  <si>
    <t>psmb7</t>
  </si>
  <si>
    <t>ENSDARG00000037962</t>
  </si>
  <si>
    <t>eukaryotic translation elongation factor 1 gamma [Source:ZFIN;Acc:ZDB-GENE-020423-3]</t>
  </si>
  <si>
    <t>eef1g</t>
  </si>
  <si>
    <t>ENSDARG00000056119</t>
  </si>
  <si>
    <t>zgc:171699 [Source:ZFIN;Acc:ZDB-GENE-071004-24]</t>
  </si>
  <si>
    <t>zgc:171699</t>
  </si>
  <si>
    <t>ENSDARG00000095966</t>
  </si>
  <si>
    <t>ribosomal protein, large, P0 [Source:ZFIN;Acc:ZDB-GENE-000629-1]</t>
  </si>
  <si>
    <t>rplp0</t>
  </si>
  <si>
    <t>ENSDARG00000051783</t>
  </si>
  <si>
    <t>insulinoma-associated 1b [Source:ZFIN;Acc:ZDB-GENE-030131-2602]</t>
  </si>
  <si>
    <t>insm1b</t>
  </si>
  <si>
    <t>ENSDARG00000053301</t>
  </si>
  <si>
    <t>ribosomal protein L13a [Source:ZFIN;Acc:ZDB-GENE-030131-168]</t>
  </si>
  <si>
    <t>rpl13a</t>
  </si>
  <si>
    <t>ENSDARG00000044093</t>
  </si>
  <si>
    <t>lysine (K)-specific demethylase 6B, b [Source:ZFIN;Acc:ZDB-GENE-040724-166]</t>
  </si>
  <si>
    <t>kdm6bb</t>
  </si>
  <si>
    <t>ENSDARG00000056929</t>
  </si>
  <si>
    <t>ribosomal protein S3 [Source:ZFIN;Acc:ZDB-GENE-030131-8494]</t>
  </si>
  <si>
    <t>rps3</t>
  </si>
  <si>
    <t>ENSDARG00000103007</t>
  </si>
  <si>
    <t>ubiquitin A-52 residue ribosomal protein fusion product 1 [Source:ZFIN;Acc:ZDB-GENE-051023-7]</t>
  </si>
  <si>
    <t>uba52</t>
  </si>
  <si>
    <t>ENSDARG00000041435</t>
  </si>
  <si>
    <t>zgc:114188 [Source:ZFIN;Acc:ZDB-GENE-050320-15]</t>
  </si>
  <si>
    <t>RPS17</t>
  </si>
  <si>
    <t>ENSDARG00000046157</t>
  </si>
  <si>
    <t>guanine nucleotide binding protein (G protein), beta polypeptide 2-like 1 [Source:ZFIN;Acc:ZDB-GENE-990415-89]</t>
  </si>
  <si>
    <t>gnb2l1</t>
  </si>
  <si>
    <t>ENSDARG00000041619</t>
  </si>
  <si>
    <t>nascent polypeptide-associated complex alpha subunit [Source:ZFIN;Acc:ZDB-GENE-020423-4]</t>
  </si>
  <si>
    <t>naca</t>
  </si>
  <si>
    <t>ENSDARG00000005513</t>
  </si>
  <si>
    <t>ribosomal protein S23 [Source:ZFIN;Acc:ZDB-GENE-080220-50]</t>
  </si>
  <si>
    <t>rps23</t>
  </si>
  <si>
    <t>ENSDARG00000021838</t>
  </si>
  <si>
    <t>hnrnpa0a</t>
  </si>
  <si>
    <t>H3 histone, family 3A [Source:ZFIN;Acc:ZDB-GENE-040426-1928]</t>
  </si>
  <si>
    <t>h3f3a</t>
  </si>
  <si>
    <t>ENSDARG00000020504</t>
  </si>
  <si>
    <t>high mobility group nucleosomal binding domain 2 [Source:ZFIN;Acc:ZDB-GENE-051030-81]</t>
  </si>
  <si>
    <t>hmgn2</t>
  </si>
  <si>
    <t>ENSDARG00000099572</t>
  </si>
  <si>
    <t>ribosomal protein S10 [Source:ZFIN;Acc:ZDB-GENE-040426-1481]</t>
  </si>
  <si>
    <t>rps10</t>
  </si>
  <si>
    <t>ENSDARG00000034897</t>
  </si>
  <si>
    <t>ribosomal protein S26 [Source:ZFIN;Acc:ZDB-GENE-030131-8606]</t>
  </si>
  <si>
    <t>rps26</t>
  </si>
  <si>
    <t>ENSDARG00000037071</t>
  </si>
  <si>
    <t>ribosomal protein S11 [Source:ZFIN;Acc:ZDB-GENE-040426-2701]</t>
  </si>
  <si>
    <t>rps11</t>
  </si>
  <si>
    <t>ENSDARG00000053058</t>
  </si>
  <si>
    <t>ribosomal protein L19 [Source:ZFIN;Acc:ZDB-GENE-040426-2290]</t>
  </si>
  <si>
    <t>rpl19</t>
  </si>
  <si>
    <t>ENSDARG00000013307</t>
  </si>
  <si>
    <t>ribosomal protein L30 [Source:ZFIN;Acc:ZDB-GENE-030131-8657]</t>
  </si>
  <si>
    <t>rpl30</t>
  </si>
  <si>
    <t>ENSDARG00000035871</t>
  </si>
  <si>
    <t>ribosomal protein L15 [Source:ZFIN;Acc:ZDB-GENE-040801-183]</t>
  </si>
  <si>
    <t>rpl15</t>
  </si>
  <si>
    <t>ENSDARG00000009285</t>
  </si>
  <si>
    <t>ribosomal protein S26, like [Source:ZFIN;Acc:ZDB-GENE-040426-1706]</t>
  </si>
  <si>
    <t>rps26l</t>
  </si>
  <si>
    <t>ENSDARG00000030408</t>
  </si>
  <si>
    <t>zgc:101000 [Source:ZFIN;Acc:ZDB-GENE-040808-35]</t>
  </si>
  <si>
    <t>zgc:101000</t>
  </si>
  <si>
    <t>ENSDARG00000015123</t>
  </si>
  <si>
    <t>shisa family member 2 [Source:ZFIN;Acc:ZDB-GENE-030925-31]</t>
  </si>
  <si>
    <t>shisa2</t>
  </si>
  <si>
    <t>ENSDARG00000034138</t>
  </si>
  <si>
    <t>ribosomal protein S6 [Source:ZFIN;Acc:ZDB-GENE-040801-8]</t>
  </si>
  <si>
    <t>rps6</t>
  </si>
  <si>
    <t>ENSDARG00000019778</t>
  </si>
  <si>
    <t>ribosomal protein S2 [Source:ZFIN;Acc:ZDB-GENE-040426-2454]</t>
  </si>
  <si>
    <t>rps2</t>
  </si>
  <si>
    <t>ENSDARG00000077291</t>
  </si>
  <si>
    <t>ribosomal protein S15 [Source:ZFIN;Acc:ZDB-GENE-030131-9092]</t>
  </si>
  <si>
    <t>rps15</t>
  </si>
  <si>
    <t>ENSDARG00000070849</t>
  </si>
  <si>
    <t>ribosomal protein S14 [Source:ZFIN;Acc:ZDB-GENE-030131-8631]</t>
  </si>
  <si>
    <t>rps14</t>
  </si>
  <si>
    <t>ENSDARG00000036629</t>
  </si>
  <si>
    <t>ribosomal protein S27a [Source:ZFIN;Acc:ZDB-GENE-030131-10018]</t>
  </si>
  <si>
    <t>rps27a</t>
  </si>
  <si>
    <t>ENSDARG00000032725</t>
  </si>
  <si>
    <t>ribosomal protein S24 [Source:ZFIN;Acc:ZDB-GENE-040109-5]</t>
  </si>
  <si>
    <t>rps24</t>
  </si>
  <si>
    <t>ENSDARG00000039347</t>
  </si>
  <si>
    <t>ribosomal protein L10 [Source:ZFIN;Acc:ZDB-GENE-030131-8656]</t>
  </si>
  <si>
    <t>rpl10</t>
  </si>
  <si>
    <t>ENSDARG00000025581</t>
  </si>
  <si>
    <t>ribosomal protein S25 [Source:ZFIN;Acc:ZDB-GENE-040426-1788]</t>
  </si>
  <si>
    <t>rps25</t>
  </si>
  <si>
    <t>ENSDARG00000041811</t>
  </si>
  <si>
    <t>ribosomal protein S16 [Source:ZFIN;Acc:ZDB-GENE-050506-107]</t>
  </si>
  <si>
    <t>rps16</t>
  </si>
  <si>
    <t>ENSDARG00000045487</t>
  </si>
  <si>
    <t>ribosomal protein S3A [Source:ZFIN;Acc:ZDB-GENE-030131-9184]</t>
  </si>
  <si>
    <t>rps3a</t>
  </si>
  <si>
    <t>ENSDARG00000035692</t>
  </si>
  <si>
    <t>ribosomal protein S27, isoform 1 [Source:ZFIN;Acc:ZDB-GENE-050522-549]</t>
  </si>
  <si>
    <t>rps27.1</t>
  </si>
  <si>
    <t>ENSDARG00000023298</t>
  </si>
  <si>
    <t>ribosomal protein L31 [Source:ZFIN;Acc:ZDB-GENE-060331-121]</t>
  </si>
  <si>
    <t>rpl31</t>
  </si>
  <si>
    <t>ENSDARG00000053365</t>
  </si>
  <si>
    <t>ribosomal protein L23 [Source:ZFIN;Acc:ZDB-GENE-030131-8756]</t>
  </si>
  <si>
    <t>rpl23</t>
  </si>
  <si>
    <t>ENSDARG00000053457</t>
  </si>
  <si>
    <t>Finkel-Biskis-Reilly murine sarcoma virus (FBR-MuSV) ubiquitously expressed a [Source:ZFIN;Acc:ZDB-GENE-040426-1700]</t>
  </si>
  <si>
    <t>faua</t>
  </si>
  <si>
    <t>ENSDARG00000099022</t>
  </si>
  <si>
    <t>ribosomal protein L7a [Source:ZFIN;Acc:ZDB-GENE-031001-9]</t>
  </si>
  <si>
    <t>rpl7a</t>
  </si>
  <si>
    <t>ENSDARG00000019230</t>
  </si>
  <si>
    <t>ribosomal protein S4, X-linked [Source:ZFIN;Acc:ZDB-GENE-040927-19]</t>
  </si>
  <si>
    <t>rps4x</t>
  </si>
  <si>
    <t>ENSDARG00000014690</t>
  </si>
  <si>
    <t>ribosomal protein L21 [Source:ZFIN;Acc:ZDB-GENE-030131-8512]</t>
  </si>
  <si>
    <t>rpl21</t>
  </si>
  <si>
    <t>ENSDARG00000010516</t>
  </si>
  <si>
    <t>ribosomal protein L32 [Source:ZFIN;Acc:ZDB-GENE-060331-105]</t>
  </si>
  <si>
    <t>rpl32</t>
  </si>
  <si>
    <t>ENSDARG00000054818</t>
  </si>
  <si>
    <t>ribosomal protein L23a [Source:ZFIN;Acc:ZDB-GENE-030131-7479]</t>
  </si>
  <si>
    <t>rpl23a</t>
  </si>
  <si>
    <t>ENSDARG00000006316</t>
  </si>
  <si>
    <t>ribosomal protein L39 [Source:ZFIN;Acc:ZDB-GENE-040625-51]</t>
  </si>
  <si>
    <t>rpl39</t>
  </si>
  <si>
    <t>ENSDARG00000036316</t>
  </si>
  <si>
    <t>ribosomal protein L8 [Source:ZFIN;Acc:ZDB-GENE-040426-1670]</t>
  </si>
  <si>
    <t>rpl8</t>
  </si>
  <si>
    <t>ENSDARG00000014867</t>
  </si>
  <si>
    <t>ribosomal protein L18a [Source:ZFIN;Acc:ZDB-GENE-040426-1071]</t>
  </si>
  <si>
    <t>rpl18a</t>
  </si>
  <si>
    <t>ENSDARG00000025073</t>
  </si>
  <si>
    <t>ribosomal protein L7 [Source:ZFIN;Acc:ZDB-GENE-030131-8654]</t>
  </si>
  <si>
    <t>rpl7</t>
  </si>
  <si>
    <t>ENSDARG00000007320</t>
  </si>
  <si>
    <t>ribosomal protein S7 [Source:ZFIN;Acc:ZDB-GENE-040426-1718]</t>
  </si>
  <si>
    <t>rps7</t>
  </si>
  <si>
    <t>ENSDARG00000042566</t>
  </si>
  <si>
    <t>ribosomal protein S5 [Source:ZFIN;Acc:ZDB-GENE-020419-12]</t>
  </si>
  <si>
    <t>rps5</t>
  </si>
  <si>
    <t>ENSDARG00000043453</t>
  </si>
  <si>
    <t>ribosomal protein L13 [Source:ZFIN;Acc:ZDB-GENE-031007-1]</t>
  </si>
  <si>
    <t>rpl13</t>
  </si>
  <si>
    <t>ENSDARG00000099380</t>
  </si>
  <si>
    <t>ribosomal protein S18 [Source:ZFIN;Acc:ZDB-GENE-020419-20]</t>
  </si>
  <si>
    <t>rps18</t>
  </si>
  <si>
    <t>ENSDARG00000100392</t>
  </si>
  <si>
    <t>ribosomal protein L27 [Source:ZFIN;Acc:ZDB-GENE-030131-4343]</t>
  </si>
  <si>
    <t>rpl27</t>
  </si>
  <si>
    <t>ENSDARG00000015128</t>
  </si>
  <si>
    <t>si:ch211-222l21.1 [Source:ZFIN;Acc:ZDB-GENE-030131-247]</t>
  </si>
  <si>
    <t>si:ch211-222l21.1</t>
  </si>
  <si>
    <t>ENSDARG00000076532</t>
  </si>
  <si>
    <t>ribosomal protein S13 [Source:ZFIN;Acc:ZDB-GENE-040625-52]</t>
  </si>
  <si>
    <t>rps13</t>
  </si>
  <si>
    <t>ENSDARG00000036298</t>
  </si>
  <si>
    <t>ribosomal protein S20 [Source:ZFIN;Acc:ZDB-GENE-040426-2284]</t>
  </si>
  <si>
    <t>rps20</t>
  </si>
  <si>
    <t>ENSDARG00000036044</t>
  </si>
  <si>
    <t>ribosomal protein L3 [Source:ZFIN;Acc:ZDB-GENE-030131-1291]</t>
  </si>
  <si>
    <t>rpl3</t>
  </si>
  <si>
    <t>ENSDARG00000003599</t>
  </si>
  <si>
    <t>ribosomal protein S12 [Source:ZFIN;Acc:ZDB-GENE-030131-8951]</t>
  </si>
  <si>
    <t>rps12</t>
  </si>
  <si>
    <t>ENSDARG00000036875</t>
  </si>
  <si>
    <t>ribosomal protein S29 [Source:ZFIN;Acc:ZDB-GENE-040622-5]</t>
  </si>
  <si>
    <t>rps29</t>
  </si>
  <si>
    <t>ENSDARG00000041232</t>
  </si>
  <si>
    <t>ribosomal protein S9 [Source:ZFIN;Acc:ZDB-GENE-010724-15]</t>
  </si>
  <si>
    <t>rps9</t>
  </si>
  <si>
    <t>ENSDARG00000011405</t>
  </si>
  <si>
    <t>ribosomal protein S21 [Source:ZFIN;Acc:ZDB-GENE-040426-1102]</t>
  </si>
  <si>
    <t>rps21</t>
  </si>
  <si>
    <t>ENSDARG00000025850</t>
  </si>
  <si>
    <t>ribosomal protein SA [Source:ZFIN;Acc:ZDB-GENE-040426-811]</t>
  </si>
  <si>
    <t>rpsa</t>
  </si>
  <si>
    <t>ENSDARG00000019181</t>
  </si>
  <si>
    <t>ribosomal protein L36A [Source:ZFIN;Acc:ZDB-GENE-020423-1]</t>
  </si>
  <si>
    <t>rpl36a</t>
  </si>
  <si>
    <t>ENSDARG00000058105</t>
  </si>
  <si>
    <t>ribosomal protein S19 [Source:ZFIN;Acc:ZDB-GENE-040426-1716]</t>
  </si>
  <si>
    <t>rps19</t>
  </si>
  <si>
    <t>ENSDARG00000030602</t>
  </si>
  <si>
    <t>ribosomal protein L9 [Source:ZFIN;Acc:ZDB-GENE-030131-8646]</t>
  </si>
  <si>
    <t>rpl9</t>
  </si>
  <si>
    <t>ENSDARG00000037350</t>
  </si>
  <si>
    <t>ribosomal protein L37 [Source:ZFIN;Acc:ZDB-GENE-040625-39]</t>
  </si>
  <si>
    <t>rpl37</t>
  </si>
  <si>
    <t>ENSDARG00000076360</t>
  </si>
  <si>
    <t>rpl37.1</t>
  </si>
  <si>
    <t>prothymosin, alpha b [Source:ZFIN;Acc:ZDB-GENE-030131-8681]</t>
  </si>
  <si>
    <t>ptmab</t>
  </si>
  <si>
    <t>ENSDARG00000101766</t>
  </si>
  <si>
    <t>chemokine (C-C motif) ligand 20b [Source:ZFIN;Acc:ZDB-GENE-091204-95]</t>
  </si>
  <si>
    <t>ccl20b</t>
  </si>
  <si>
    <t>ENSDARG00000094511</t>
  </si>
  <si>
    <t>dimethylarginine dimethylaminohydrolase 2 [Source:ZFIN;Acc:ZDB-GENE-030131-913]</t>
  </si>
  <si>
    <t>ddah2</t>
  </si>
  <si>
    <t>ENSDARG00000105009</t>
  </si>
  <si>
    <t>ligand of numb-protein X 2b [Source:ZFIN;Acc:ZDB-GENE-040426-2500]</t>
  </si>
  <si>
    <t>lnx2b</t>
  </si>
  <si>
    <t>ENSDARG00000071478</t>
  </si>
  <si>
    <t>Tax1 (human T-cell leukemia virus type I) binding protein 3 [Source:ZFIN;Acc:ZDB-GENE-040426-2830]</t>
  </si>
  <si>
    <t>tax1bp3</t>
  </si>
  <si>
    <t>ENSDARG00000059177</t>
  </si>
  <si>
    <t>arginine/serine-rich protein 1 [Source:ZFIN;Acc:ZDB-GENE-060616-210]</t>
  </si>
  <si>
    <t>rsrp1</t>
  </si>
  <si>
    <t>ENSDARG00000030440</t>
  </si>
  <si>
    <t>zgc:100864 [Source:ZFIN;Acc:ZDB-GENE-040801-35]</t>
  </si>
  <si>
    <t>TSTA3</t>
  </si>
  <si>
    <t>ENSDARG00000039669</t>
  </si>
  <si>
    <t>TSTA3.1</t>
  </si>
  <si>
    <t>myosin XVIIIAa [Source:ZFIN;Acc:ZDB-GENE-080425-5]</t>
  </si>
  <si>
    <t>myo18aa</t>
  </si>
  <si>
    <t>ENSDARG00000075752</t>
  </si>
  <si>
    <t>AHNAK nucleoprotein [Source:ZFIN;Acc:ZDB-GENE-030131-8719]</t>
  </si>
  <si>
    <t>ahnak</t>
  </si>
  <si>
    <t>ENSDARG00000061764</t>
  </si>
  <si>
    <t>ring finger protein 183 [Source:ZFIN;Acc:ZDB-GENE-060929-1090]</t>
  </si>
  <si>
    <t>rnf183</t>
  </si>
  <si>
    <t>ENSDARG00000068851</t>
  </si>
  <si>
    <t>rnf183.1</t>
  </si>
  <si>
    <t>wu:fb18f06 [Source:ZFIN;Acc:ZDB-GENE-030131-261]</t>
  </si>
  <si>
    <t>wu:fb18f06</t>
  </si>
  <si>
    <t>ENSDARG00000097635</t>
  </si>
  <si>
    <t>NUAK family, SNF1-like kinase, 1b [Source:ZFIN;Acc:ZDB-GENE-131120-18]</t>
  </si>
  <si>
    <t>nuak1b</t>
  </si>
  <si>
    <t>ENSDARG00000028676</t>
  </si>
  <si>
    <t>pleckstrin homology domain containing, family A member 6 [Source:ZFIN;Acc:ZDB-GENE-140106-14]</t>
  </si>
  <si>
    <t>plekha6</t>
  </si>
  <si>
    <t>ENSDARG00000020328</t>
  </si>
  <si>
    <t>arginase 2 [Source:ZFIN;Acc:ZDB-GENE-030131-1334]</t>
  </si>
  <si>
    <t>arg2</t>
  </si>
  <si>
    <t>ENSDARG00000039269</t>
  </si>
  <si>
    <t>Rho GTPase activating protein 6 [Source:ZFIN;Acc:ZDB-GENE-060616-298]</t>
  </si>
  <si>
    <t>arhgap6</t>
  </si>
  <si>
    <t>ENSDARG00000059672</t>
  </si>
  <si>
    <t>si:ch211-284f22.3 [Source:ZFIN;Acc:ZDB-GENE-060526-166]</t>
  </si>
  <si>
    <t>VPS37D</t>
  </si>
  <si>
    <t>ENSDARG00000097055</t>
  </si>
  <si>
    <t>hairy-related 6 [Source:ZFIN;Acc:ZDB-GENE-980526-144]</t>
  </si>
  <si>
    <t>her6</t>
  </si>
  <si>
    <t>ENSDARG00000006514</t>
  </si>
  <si>
    <t>atypical chemokine receptor 3b [Source:ZFIN;Acc:ZDB-GENE-031116-61]</t>
  </si>
  <si>
    <t>ackr3b</t>
  </si>
  <si>
    <t>ENSDARG00000058179</t>
  </si>
  <si>
    <t>proline rich Gla (G-carboxyglutamic acid) 2 [Source:ZFIN;Acc:ZDB-GENE-130625-1]</t>
  </si>
  <si>
    <t>prrg2</t>
  </si>
  <si>
    <t>ENSDARG00000087193</t>
  </si>
  <si>
    <t>enolase 1b, (alpha) [Source:ZFIN;Acc:ZDB-GENE-040426-1651]</t>
  </si>
  <si>
    <t>eno1b</t>
  </si>
  <si>
    <t>ENSDARG00000013750</t>
  </si>
  <si>
    <t>zgc:113162 [Source:ZFIN;Acc:ZDB-GENE-050522-530]</t>
  </si>
  <si>
    <t>zgc:113162</t>
  </si>
  <si>
    <t>ENSDARG00000052923</t>
  </si>
  <si>
    <t>eukaryotic translation initiation factor 4E binding protein 3 [Source:ZFIN;Acc:ZDB-GENE-041114-44]</t>
  </si>
  <si>
    <t>eif4ebp3</t>
  </si>
  <si>
    <t>ENSDARG00000054916</t>
  </si>
  <si>
    <t>adenylate kinase 1 [Source:ZFIN;Acc:ZDB-GENE-040822-37]</t>
  </si>
  <si>
    <t>ak1</t>
  </si>
  <si>
    <t>ENSDARG00000001950</t>
  </si>
  <si>
    <t>si:dkeyp-104f11.9 [Source:ZFIN;Acc:ZDB-GENE-130603-41]</t>
  </si>
  <si>
    <t>si:dkeyp-104f11.9</t>
  </si>
  <si>
    <t>ENSDARG00000096715</t>
  </si>
  <si>
    <t>cyclin G2 [Source:ZFIN;Acc:ZDB-GENE-021016-1]</t>
  </si>
  <si>
    <t>ccng2</t>
  </si>
  <si>
    <t>ENSDARG00000017602</t>
  </si>
  <si>
    <t>cathepsin S, ortholog 2, tandem duplicate 2 [Source:ZFIN;Acc:ZDB-GENE-050626-55]</t>
  </si>
  <si>
    <t>ctss2.2</t>
  </si>
  <si>
    <t>ENSDARG00000013771</t>
  </si>
  <si>
    <t>regulator of G-protein signaling 12a [Source:ZFIN;Acc:ZDB-GENE-030131-2614]</t>
  </si>
  <si>
    <t>rgs12a</t>
  </si>
  <si>
    <t>ENSDARG00000009610</t>
  </si>
  <si>
    <t>peripheral myelin protein 22a [Source:ZFIN;Acc:ZDB-GENE-030131-6757]</t>
  </si>
  <si>
    <t>pmp22a</t>
  </si>
  <si>
    <t>ENSDARG00000105223</t>
  </si>
  <si>
    <t>troponin T type 2b (cardiac) [Source:ZFIN;Acc:ZDB-GENE-091106-2]</t>
  </si>
  <si>
    <t>tnnt2b</t>
  </si>
  <si>
    <t>ENSDARG00000100694</t>
  </si>
  <si>
    <t>fibronectin type III domain containing 7, related sequence 4 [Source:ZFIN;Acc:ZDB-GENE-070912-648]</t>
  </si>
  <si>
    <t>fndc7rs4</t>
  </si>
  <si>
    <t>ENSDARG00000092813</t>
  </si>
  <si>
    <t>si:ch73-95l15.5 [Source:ZFIN;Acc:ZDB-GENE-030131-3481]</t>
  </si>
  <si>
    <t>si:ch73-95l15.5</t>
  </si>
  <si>
    <t>ENSDARG00000087596</t>
  </si>
  <si>
    <t>pancreatic progenitor cell differentiation and proliferation factor a [Source:ZFIN;Acc:ZDB-GENE-030219-204]</t>
  </si>
  <si>
    <t>ppdpfa</t>
  </si>
  <si>
    <t>ENSDARG00000007682</t>
  </si>
  <si>
    <t>tumor necrosis factor b (TNF superfamily, member 2) [Source:ZFIN;Acc:ZDB-GENE-050601-2]</t>
  </si>
  <si>
    <t>tnfb</t>
  </si>
  <si>
    <t>ENSDARG00000013598</t>
  </si>
  <si>
    <t>S100 calcium binding protein V1 [Source:ZFIN;Acc:ZDB-GENE-080407-1]</t>
  </si>
  <si>
    <t>s100v1</t>
  </si>
  <si>
    <t>ENSDARG00000070427</t>
  </si>
  <si>
    <t>polo-like kinase 3 (Drosophila) [Source:ZFIN;Acc:ZDB-GENE-030131-6134]</t>
  </si>
  <si>
    <t>plk3</t>
  </si>
  <si>
    <t>ENSDARG00000038754</t>
  </si>
  <si>
    <t>CU019646.2</t>
  </si>
  <si>
    <t>ENSDARG00000091234</t>
  </si>
  <si>
    <t>immunoglobulin superfamily, member 9a [Source:ZFIN;Acc:ZDB-GENE-060503-288]</t>
  </si>
  <si>
    <t>igsf9a</t>
  </si>
  <si>
    <t>ENSDARG00000075864</t>
  </si>
  <si>
    <t>zgc:123068 [Source:ZFIN;Acc:ZDB-GENE-051030-98]</t>
  </si>
  <si>
    <t>zgc:123068</t>
  </si>
  <si>
    <t>ENSDARG00000017489</t>
  </si>
  <si>
    <t>inhibin, beta Aa [Source:ZFIN;Acc:ZDB-GENE-000210-21]</t>
  </si>
  <si>
    <t>inhbaa</t>
  </si>
  <si>
    <t>ENSDARG00000012671</t>
  </si>
  <si>
    <t>T-cell activation RhoGTPase activating protein a [Source:ZFIN;Acc:ZDB-GENE-040426-1877]</t>
  </si>
  <si>
    <t>tagapa</t>
  </si>
  <si>
    <t>ENSDARG00000002353</t>
  </si>
  <si>
    <t>inhibitor of DNA binding 2, dominant negative helix-loop-helix protein, b [Source:ZFIN;Acc:ZDB-GENE-030131-15]</t>
  </si>
  <si>
    <t>id2b</t>
  </si>
  <si>
    <t>ENSDARG00000029544</t>
  </si>
  <si>
    <t>si:ch73-70c5.2 [Source:ZFIN;Acc:ZDB-GENE-131121-313]</t>
  </si>
  <si>
    <t>si:ch73-70c5.2</t>
  </si>
  <si>
    <t>ENSDARG00000097123</t>
  </si>
  <si>
    <t>plac8 onzin related protein 1 [Source:ZFIN;Acc:ZDB-GENE-070727-1]</t>
  </si>
  <si>
    <t>ponzr1</t>
  </si>
  <si>
    <t>ENSDARG00000090444</t>
  </si>
  <si>
    <t>signal transducer and activator of transcription 3 (acute-phase response factor) [Source:ZFIN;Acc:ZDB-GENE-980526-68]</t>
  </si>
  <si>
    <t>stat3</t>
  </si>
  <si>
    <t>ENSDARG00000022712</t>
  </si>
  <si>
    <t>FAT atypical cadherin 2 [Source:ZFIN;Acc:ZDB-GENE-111031-1]</t>
  </si>
  <si>
    <t>fat2</t>
  </si>
  <si>
    <t>ENSDARG00000018923</t>
  </si>
  <si>
    <t>zgc:154054 [Source:ZFIN;Acc:ZDB-GENE-061103-283]</t>
  </si>
  <si>
    <t>MGAT4D</t>
  </si>
  <si>
    <t>ENSDARG00000099923</t>
  </si>
  <si>
    <t>pbx/knotted 1 homeobox 2 [Source:ZFIN;Acc:ZDB-GENE-031118-112]</t>
  </si>
  <si>
    <t>pknox2</t>
  </si>
  <si>
    <t>ENSDARG00000055349</t>
  </si>
  <si>
    <t>glutathione S-transferase mu, tandem duplicate 1 [Source:ZFIN;Acc:ZDB-GENE-030911-2]</t>
  </si>
  <si>
    <t>gstm.1</t>
  </si>
  <si>
    <t>ENSDARG00000042533</t>
  </si>
  <si>
    <t>oviductal glycoprotein 1 [Source:ZFIN;Acc:ZDB-GENE-140106-118]</t>
  </si>
  <si>
    <t>ovgp1</t>
  </si>
  <si>
    <t>ENSDARG00000075745</t>
  </si>
  <si>
    <t>transgelin 2 [Source:ZFIN;Acc:ZDB-GENE-020802-2]</t>
  </si>
  <si>
    <t>tagln2</t>
  </si>
  <si>
    <t>ENSDARG00000033466</t>
  </si>
  <si>
    <t>si:dkey-103g5.3 [Source:ZFIN;Acc:ZDB-GENE-131127-337]</t>
  </si>
  <si>
    <t>si:dkey-103g5.3</t>
  </si>
  <si>
    <t>ENSDARG00000062319</t>
  </si>
  <si>
    <t>wingless-type MMTV integration site family, member 11, related [Source:ZFIN;Acc:ZDB-GENE-980526-249]</t>
  </si>
  <si>
    <t>wnt11r</t>
  </si>
  <si>
    <t>ENSDARG00000014796</t>
  </si>
  <si>
    <t>G protein-coupled receptor, class C, group 6, member A [Source:ZFIN;Acc:ZDB-GENE-041217-22]</t>
  </si>
  <si>
    <t>gprc6a</t>
  </si>
  <si>
    <t>ENSDARG00000005371</t>
  </si>
  <si>
    <t>crumbs homolog 3b [Source:ZFIN;Acc:ZDB-GENE-060610-3]</t>
  </si>
  <si>
    <t>crb3b</t>
  </si>
  <si>
    <t>ENSDARG00000068182</t>
  </si>
  <si>
    <t>coatomer protein complex, subunit zeta 2 [Source:ZFIN;Acc:ZDB-GENE-000406-5]</t>
  </si>
  <si>
    <t>copz2</t>
  </si>
  <si>
    <t>ENSDARG00000006786</t>
  </si>
  <si>
    <t>erythrocyte membrane protein band 4.1a [Source:ZFIN;Acc:ZDB-GENE-070705-81]</t>
  </si>
  <si>
    <t>epb41a</t>
  </si>
  <si>
    <t>ENSDARG00000099283</t>
  </si>
  <si>
    <t>S100 calcium binding protein A10b [Source:ZFIN;Acc:ZDB-GENE-040426-1937]</t>
  </si>
  <si>
    <t>s100a10b</t>
  </si>
  <si>
    <t>ENSDARG00000025254</t>
  </si>
  <si>
    <t>sparc/osteonectin, cwcv and kazal-like domains proteoglycan (testican) 2 [Source:ZFIN;Acc:ZDB-GENE-090312-170]</t>
  </si>
  <si>
    <t>spock2</t>
  </si>
  <si>
    <t>ENSDARG00000075393</t>
  </si>
  <si>
    <t>calpain 9 [Source:ZFIN;Acc:ZDB-GENE-010724-2]</t>
  </si>
  <si>
    <t>capn9</t>
  </si>
  <si>
    <t>ENSDARG00000012341</t>
  </si>
  <si>
    <t>si:dkey-247k7.2 [Source:ZFIN;Acc:ZDB-GENE-031118-45]</t>
  </si>
  <si>
    <t>si:dkey-247k7.2</t>
  </si>
  <si>
    <t>ENSDARG00000103199</t>
  </si>
  <si>
    <t>MAP7 domain containing 3 [Source:ZFIN;Acc:ZDB-GENE-121129-3]</t>
  </si>
  <si>
    <t>map7d3</t>
  </si>
  <si>
    <t>ENSDARG00000060771</t>
  </si>
  <si>
    <t>lymphocyte antigen-6, epidermis [Source:ZFIN;Acc:ZDB-GENE-120104-1]</t>
  </si>
  <si>
    <t>lye</t>
  </si>
  <si>
    <t>ENSDARG00000100630</t>
  </si>
  <si>
    <t>thioredoxin [Source:ZFIN;Acc:ZDB-GENE-040718-162]</t>
  </si>
  <si>
    <t>txn</t>
  </si>
  <si>
    <t>ENSDARG00000044125</t>
  </si>
  <si>
    <t>transmembrane protein 119b [Source:ZFIN;Acc:ZDB-GENE-070410-49]</t>
  </si>
  <si>
    <t>tmem119b</t>
  </si>
  <si>
    <t>ENSDARG00000068036</t>
  </si>
  <si>
    <t>secreted frizzled-related protein 1a [Source:ZFIN;Acc:ZDB-GENE-040310-5]</t>
  </si>
  <si>
    <t>sfrp1a</t>
  </si>
  <si>
    <t>ENSDARG00000035521</t>
  </si>
  <si>
    <t>regulator of G-protein signaling 4 [Source:ZFIN;Acc:ZDB-GENE-030131-9839]</t>
  </si>
  <si>
    <t>rgs4</t>
  </si>
  <si>
    <t>ENSDARG00000070047</t>
  </si>
  <si>
    <t>cadherin 1, type 1, E-cadherin (epithelial) [Source:ZFIN;Acc:ZDB-GENE-010606-1]</t>
  </si>
  <si>
    <t>cdh1</t>
  </si>
  <si>
    <t>ENSDARG00000102750</t>
  </si>
  <si>
    <t>melanoma cell adhesion molecule a [Source:ZFIN;Acc:ZDB-GENE-090218-29]</t>
  </si>
  <si>
    <t>mcama</t>
  </si>
  <si>
    <t>ENSDARG00000089643</t>
  </si>
  <si>
    <t>sulfatase 1 [Source:ZFIN;Acc:ZDB-GENE-030131-9242]</t>
  </si>
  <si>
    <t>sulf1</t>
  </si>
  <si>
    <t>ENSDARG00000038428</t>
  </si>
  <si>
    <t>mal, T-cell differentiation protein [Source:ZFIN;Acc:ZDB-GENE-050417-175]</t>
  </si>
  <si>
    <t>mal</t>
  </si>
  <si>
    <t>ENSDARG00000030094</t>
  </si>
  <si>
    <t>si:ch211-266a5.12 [Source:ZFIN;Acc:ZDB-GENE-081104-210]</t>
  </si>
  <si>
    <t>si:ch211-266a5.12</t>
  </si>
  <si>
    <t>ENSDARG00000092714</t>
  </si>
  <si>
    <t>HOP homeobox [Source:ZFIN;Acc:ZDB-GENE-031016-2]</t>
  </si>
  <si>
    <t>hopx</t>
  </si>
  <si>
    <t>ENSDARG00000089368</t>
  </si>
  <si>
    <t>cathepsin 12 [Source:ZFIN;Acc:ZDB-GENE-050208-336]</t>
  </si>
  <si>
    <t>cts12</t>
  </si>
  <si>
    <t>ENSDARG00000042753</t>
  </si>
  <si>
    <t>claudin e [Source:ZFIN;Acc:ZDB-GENE-010328-5]</t>
  </si>
  <si>
    <t>cldne</t>
  </si>
  <si>
    <t>ENSDARG00000043128</t>
  </si>
  <si>
    <t>polycystic kidney and hepatic disease 1 (autosomal recessive)-like 1 [Source:ZFIN;Acc:ZDB-GENE-060503-475]</t>
  </si>
  <si>
    <t>pkhd1l1</t>
  </si>
  <si>
    <t>ENSDARG00000091116</t>
  </si>
  <si>
    <t>tumor necrosis factor (ligand) superfamily, member 10 [Source:ZFIN;Acc:ZDB-GENE-040718-335]</t>
  </si>
  <si>
    <t>tnfsf10</t>
  </si>
  <si>
    <t>ENSDARG00000057241</t>
  </si>
  <si>
    <t>plac8 onzin related protein 6 [Source:ZFIN;Acc:ZDB-GENE-081104-326]</t>
  </si>
  <si>
    <t>ponzr6</t>
  </si>
  <si>
    <t>ENSDARG00000036382</t>
  </si>
  <si>
    <t>cysteine-rich protein 1 [Source:ZFIN;Acc:ZDB-GENE-041111-1]</t>
  </si>
  <si>
    <t>crip1</t>
  </si>
  <si>
    <t>ENSDARG00000053858</t>
  </si>
  <si>
    <t>transcription factor AP-2 alpha [Source:ZFIN;Acc:ZDB-GENE-011212-6]</t>
  </si>
  <si>
    <t>tfap2a</t>
  </si>
  <si>
    <t>ENSDARG00000059279</t>
  </si>
  <si>
    <t>tetraspanin 1 [Source:ZFIN;Acc:ZDB-GENE-070502-5]</t>
  </si>
  <si>
    <t>tspan1</t>
  </si>
  <si>
    <t>ENSDARG00000052027</t>
  </si>
  <si>
    <t>storkhead box 1 [Source:ZFIN;Acc:ZDB-GENE-030925-2]</t>
  </si>
  <si>
    <t>stox1</t>
  </si>
  <si>
    <t>ENSDARG00000062593</t>
  </si>
  <si>
    <t>family with sequence similarity 20, member B (H. sapiens) [Source:ZFIN;Acc:ZDB-GENE-040724-125]</t>
  </si>
  <si>
    <t>fam20b</t>
  </si>
  <si>
    <t>ENSDARG00000008573</t>
  </si>
  <si>
    <t>proline rich 15-like a [Source:ZFIN;Acc:ZDB-GENE-040801-218]</t>
  </si>
  <si>
    <t>prr15la</t>
  </si>
  <si>
    <t>ENSDARG00000025615</t>
  </si>
  <si>
    <t>frizzled class receptor 8a [Source:ZFIN;Acc:ZDB-GENE-000328-3]</t>
  </si>
  <si>
    <t>fzd8a</t>
  </si>
  <si>
    <t>ENSDARG00000045444</t>
  </si>
  <si>
    <t>prostaglandin E receptor 4 (subtype EP4) a [Source:ZFIN;Acc:ZDB-GENE-060222-1]</t>
  </si>
  <si>
    <t>ptger4a</t>
  </si>
  <si>
    <t>ENSDARG00000059236</t>
  </si>
  <si>
    <t>Src homology 2 domain containing E [Source:ZFIN;Acc:ZDB-GENE-090915-6]</t>
  </si>
  <si>
    <t>she</t>
  </si>
  <si>
    <t>ENSDARG00000087956</t>
  </si>
  <si>
    <t>glypican 1a [Source:ZFIN;Acc:ZDB-GENE-051120-147]</t>
  </si>
  <si>
    <t>gpc1a</t>
  </si>
  <si>
    <t>ENSDARG00000019341</t>
  </si>
  <si>
    <t>calmodulin 3b (phosphorylase kinase, delta) [Source:ZFIN;Acc:ZDB-GENE-030131-527]</t>
  </si>
  <si>
    <t>calm3b</t>
  </si>
  <si>
    <t>ENSDARG00000074057</t>
  </si>
  <si>
    <t>acyl-CoA synthetase long-chain family member 1a [Source:ZFIN;Acc:ZDB-GENE-050809-115]</t>
  </si>
  <si>
    <t>acsl1a</t>
  </si>
  <si>
    <t>ENSDARG00000030514</t>
  </si>
  <si>
    <t>cyclin D2, a [Source:ZFIN;Acc:ZDB-GENE-070424-30]</t>
  </si>
  <si>
    <t>ccnd2a</t>
  </si>
  <si>
    <t>ENSDARG00000051748</t>
  </si>
  <si>
    <t>insulin-like growth factor 2a [Source:ZFIN;Acc:ZDB-GENE-991111-3]</t>
  </si>
  <si>
    <t>igf2a</t>
  </si>
  <si>
    <t>ENSDARG00000018643</t>
  </si>
  <si>
    <t>mannosyl (alpha-1,3-)-glycoprotein beta-1,2-N-acetylglucosaminyltransferase b [Source:ZFIN;Acc:ZDB-GENE-061103-589]</t>
  </si>
  <si>
    <t>mgat1b</t>
  </si>
  <si>
    <t>ENSDARG00000036065</t>
  </si>
  <si>
    <t>sclerostin [Source:ZFIN;Acc:ZDB-GENE-110411-139]</t>
  </si>
  <si>
    <t>sost</t>
  </si>
  <si>
    <t>ENSDARG00000061259</t>
  </si>
  <si>
    <t>si:rp71-77l1.1 [Source:ZFIN;Acc:ZDB-GENE-131121-141]</t>
  </si>
  <si>
    <t>si:rp71-77l1.1</t>
  </si>
  <si>
    <t>ENSDARG00000097746</t>
  </si>
  <si>
    <t>mitogen-activated protein kinase kinase 6 [Source:ZFIN;Acc:ZDB-GENE-010202-3]</t>
  </si>
  <si>
    <t>map2k6</t>
  </si>
  <si>
    <t>ENSDARG00000099184</t>
  </si>
  <si>
    <t>deltaA [Source:ZFIN;Acc:ZDB-GENE-980526-29]</t>
  </si>
  <si>
    <t>dla</t>
  </si>
  <si>
    <t>ENSDARG00000010791</t>
  </si>
  <si>
    <t>calreticulin [Source:ZFIN;Acc:ZDB-GENE-030131-4042]</t>
  </si>
  <si>
    <t>calr</t>
  </si>
  <si>
    <t>ENSDARG00000076290</t>
  </si>
  <si>
    <t>chemokine (C-C motif) ligand 19b [Source:ZFIN;Acc:ZDB-GENE-091204-19]</t>
  </si>
  <si>
    <t>ccl19b</t>
  </si>
  <si>
    <t>ENSDARG00000039351</t>
  </si>
  <si>
    <t>eukaryotic translation elongation factor 2b [Source:ZFIN;Acc:ZDB-GENE-030131-5128]</t>
  </si>
  <si>
    <t>eef2b</t>
  </si>
  <si>
    <t>ENSDARG00000100371</t>
  </si>
  <si>
    <t>connexin 35.4 [Source:ZFIN;Acc:ZDB-GENE-050417-174]</t>
  </si>
  <si>
    <t>cx35.4</t>
  </si>
  <si>
    <t>ENSDARG00000042866</t>
  </si>
  <si>
    <t>thyrotrophic embryonic factor a [Source:ZFIN;Acc:ZDB-GENE-990415-264]</t>
  </si>
  <si>
    <t>tefa</t>
  </si>
  <si>
    <t>ENSDARG00000039117</t>
  </si>
  <si>
    <t>glyceraldehyde-3-phosphate dehydrogenase, spermatogenic [Source:ZFIN;Acc:ZDB-GENE-020913-1]</t>
  </si>
  <si>
    <t>gapdhs</t>
  </si>
  <si>
    <t>ENSDARG00000039914</t>
  </si>
  <si>
    <t>gelsolin b [Source:ZFIN;Acc:ZDB-GENE-030131-8567]</t>
  </si>
  <si>
    <t>gsnb</t>
  </si>
  <si>
    <t>ENSDARG00000045262</t>
  </si>
  <si>
    <t>zgc:101744 [Source:ZFIN;Acc:ZDB-GENE-050320-111]</t>
  </si>
  <si>
    <t>zgc:101744</t>
  </si>
  <si>
    <t>ENSDARG00000038694</t>
  </si>
  <si>
    <t>GATA binding protein 2b [Source:ZFIN;Acc:ZDB-GENE-040718-440]</t>
  </si>
  <si>
    <t>gata2b</t>
  </si>
  <si>
    <t>ENSDARG00000009094</t>
  </si>
  <si>
    <t>si:dkey-225d17.2 [Source:ZFIN;Acc:ZDB-GENE-081105-74]</t>
  </si>
  <si>
    <t>si:dkey-225d17.2</t>
  </si>
  <si>
    <t>ENSDARG00000091889</t>
  </si>
  <si>
    <t>tubulin, beta 4B class IVb [Source:ZFIN;Acc:ZDB-GENE-030131-8625]</t>
  </si>
  <si>
    <t>tubb4b</t>
  </si>
  <si>
    <t>ENSDARG00000002344</t>
  </si>
  <si>
    <t>zgc:55461 [Source:ZFIN;Acc:ZDB-GENE-040426-2879]</t>
  </si>
  <si>
    <t>zgc:55461</t>
  </si>
  <si>
    <t>ENSDARG00000041723</t>
  </si>
  <si>
    <t>zgc:64106 [Source:ZFIN;Acc:ZDB-GENE-040426-1370]</t>
  </si>
  <si>
    <t>zgc:64106</t>
  </si>
  <si>
    <t>ENSDARG00000011371</t>
  </si>
  <si>
    <t>BCL2-interacting killer (apoptosis-inducing) [Source:ZFIN;Acc:ZDB-GENE-041210-181]</t>
  </si>
  <si>
    <t>bik</t>
  </si>
  <si>
    <t>ENSDARG00000045549</t>
  </si>
  <si>
    <t>myoglobin [Source:ZFIN;Acc:ZDB-GENE-040426-1430]</t>
  </si>
  <si>
    <t>mb</t>
  </si>
  <si>
    <t>ENSDARG00000031952</t>
  </si>
  <si>
    <t>muscle-specific beta 1 integrin binding protein 2 [Source:ZFIN;Acc:ZDB-GENE-031113-14]</t>
  </si>
  <si>
    <t>mibp2</t>
  </si>
  <si>
    <t>ENSDARG00000101844</t>
  </si>
  <si>
    <t>si:ch73-261i21.5 [Source:ZFIN;Acc:ZDB-GENE-110411-258]</t>
  </si>
  <si>
    <t>si:ch73-261i21.5</t>
  </si>
  <si>
    <t>ENSDARG00000105061</t>
  </si>
  <si>
    <t>protease, serine, 23 [Source:ZFIN;Acc:ZDB-GENE-030131-9149]</t>
  </si>
  <si>
    <t>prss23</t>
  </si>
  <si>
    <t>ENSDARG00000055786</t>
  </si>
  <si>
    <t>actin, beta 1 [Source:ZFIN;Acc:ZDB-GENE-000329-1]</t>
  </si>
  <si>
    <t>actb1</t>
  </si>
  <si>
    <t>ENSDARG00000037746</t>
  </si>
  <si>
    <t>prothymosin, alpha a [Source:ZFIN;Acc:ZDB-GENE-030131-7647]</t>
  </si>
  <si>
    <t>ptmaa</t>
  </si>
  <si>
    <t>ENSDARG00000021113</t>
  </si>
  <si>
    <t>regulator of cell cycle [Source:ZFIN;Acc:ZDB-GENE-040704-31]</t>
  </si>
  <si>
    <t>rgcc</t>
  </si>
  <si>
    <t>ENSDARG00000035810</t>
  </si>
  <si>
    <t>selenoprotein W, 2b [Source:ZFIN;Acc:ZDB-GENE-030428-2]</t>
  </si>
  <si>
    <t>sepw2b</t>
  </si>
  <si>
    <t>ENSDARG00000089936</t>
  </si>
  <si>
    <t>glutamate-ammonia ligase (glutamine synthase) a [Source:ZFIN;Acc:ZDB-GENE-030131-688]</t>
  </si>
  <si>
    <t>glula</t>
  </si>
  <si>
    <t>ENSDARG00000099776</t>
  </si>
  <si>
    <t>DnaJ (Hsp40) homolog, subfamily B, member 11 [Source:ZFIN;Acc:ZDB-GENE-031113-9]</t>
  </si>
  <si>
    <t>dnajb11</t>
  </si>
  <si>
    <t>ENSDARG00000015088</t>
  </si>
  <si>
    <t>si:ch211-71m22.1 [Source:ZFIN;Acc:ZDB-GENE-070705-193]</t>
  </si>
  <si>
    <t>si:ch211-71m22.1</t>
  </si>
  <si>
    <t>ENSDARG00000058638</t>
  </si>
  <si>
    <t>delta(4)-desaturase, sphingolipid 1 [Source:ZFIN;Acc:ZDB-GENE-030131-5283]</t>
  </si>
  <si>
    <t>degs1</t>
  </si>
  <si>
    <t>ENSDARG00000007347</t>
  </si>
  <si>
    <t>zinc finger protein 185 (LIM domain) [Source:ZFIN;Acc:ZDB-GENE-061103-355]</t>
  </si>
  <si>
    <t>znf185</t>
  </si>
  <si>
    <t>ENSDARG00000103917</t>
  </si>
  <si>
    <t>BTB (POZ) domain containing 6b [Source:ZFIN;Acc:ZDB-GENE-030829-65]</t>
  </si>
  <si>
    <t>btbd6b</t>
  </si>
  <si>
    <t>ENSDARG00000032369</t>
  </si>
  <si>
    <t>zgc:165423 [Source:ZFIN;Acc:ZDB-GENE-070720-11]</t>
  </si>
  <si>
    <t>zgc:165423</t>
  </si>
  <si>
    <t>ENSDARG00000052905</t>
  </si>
  <si>
    <t>early B-cell factor 3a [Source:ZFIN;Acc:ZDB-GENE-070112-292]</t>
  </si>
  <si>
    <t>ebf3a</t>
  </si>
  <si>
    <t>ENSDARG00000100244</t>
  </si>
  <si>
    <t>si:ch211-153b23.5 [Source:ZFIN;Acc:ZDB-GENE-030131-9744]</t>
  </si>
  <si>
    <t>si:ch211-153b23.5</t>
  </si>
  <si>
    <t>ENSDARG00000058206</t>
  </si>
  <si>
    <t>MFNG O-fucosylpeptide 3-beta-N-acetylglucosaminyltransferase [Source:ZFIN;Acc:ZDB-GENE-041130-1]</t>
  </si>
  <si>
    <t>mfng</t>
  </si>
  <si>
    <t>ENSDARG00000042925</t>
  </si>
  <si>
    <t>carboxypeptidase M [Source:ZFIN;Acc:ZDB-GENE-041210-191]</t>
  </si>
  <si>
    <t>cpm</t>
  </si>
  <si>
    <t>ENSDARG00000011769</t>
  </si>
  <si>
    <t>APC membrane recruitment protein 2 [Source:ZFIN;Acc:ZDB-GENE-070719-5]</t>
  </si>
  <si>
    <t>amer2</t>
  </si>
  <si>
    <t>ENSDARG00000075222</t>
  </si>
  <si>
    <t>ATPase, Na+/K+ transporting, alpha 1b polypeptide [Source:ZFIN;Acc:ZDB-GENE-001212-5]</t>
  </si>
  <si>
    <t>atp1a1b</t>
  </si>
  <si>
    <t>ENSDARG00000019856</t>
  </si>
  <si>
    <t>AL954146.1</t>
  </si>
  <si>
    <t>ENSDARG00000038891</t>
  </si>
  <si>
    <t>CABZ01067232.1</t>
  </si>
  <si>
    <t>ENSDARG00000057408</t>
  </si>
  <si>
    <t>secreted protein, acidic, cysteine-rich (osteonectin) [Source:ZFIN;Acc:ZDB-GENE-030131-9]</t>
  </si>
  <si>
    <t>sparc</t>
  </si>
  <si>
    <t>ENSDARG00000019353</t>
  </si>
  <si>
    <t>LFNG O-fucosylpeptide 3-beta-N-acetylglucosaminyltransferase [Source:ZFIN;Acc:ZDB-GENE-980605-16]</t>
  </si>
  <si>
    <t>lfng</t>
  </si>
  <si>
    <t>ENSDARG00000037879</t>
  </si>
  <si>
    <t>transmembrane protein 176l.2 [Source:ZFIN;Acc:ZDB-GENE-080829-12]</t>
  </si>
  <si>
    <t>tmem176l.2</t>
  </si>
  <si>
    <t>ENSDARG00000089399</t>
  </si>
  <si>
    <t>V-set and immunoglobulin domain containing 8a [Source:ZFIN;Acc:ZDB-GENE-050417-338]</t>
  </si>
  <si>
    <t>vsig8a</t>
  </si>
  <si>
    <t>ENSDARG00000054050</t>
  </si>
  <si>
    <t>starmaker [Source:ZFIN;Acc:ZDB-GENE-031112-4]</t>
  </si>
  <si>
    <t>stm</t>
  </si>
  <si>
    <t>ENSDARG00000035694</t>
  </si>
  <si>
    <t>si:ch211-152f23.5 [Source:ZFIN;Acc:ZDB-GENE-080917-47]</t>
  </si>
  <si>
    <t>si:ch211-152f23.5</t>
  </si>
  <si>
    <t>ENSDARG00000019741</t>
  </si>
  <si>
    <t>chemokine (C-X-C motif) ligand 14 [Source:ZFIN;Acc:ZDB-GENE-000619-1]</t>
  </si>
  <si>
    <t>cxcl14</t>
  </si>
  <si>
    <t>ENSDARG00000056627</t>
  </si>
  <si>
    <t>si:dkey-4p15.5 [Source:ZFIN;Acc:ZDB-GENE-121214-193]</t>
  </si>
  <si>
    <t>si:dkey-4p15.5</t>
  </si>
  <si>
    <t>ENSDARG00000086272</t>
  </si>
  <si>
    <t>aquaporin 3a [Source:ZFIN;Acc:ZDB-GENE-040426-2826]</t>
  </si>
  <si>
    <t>aqp3a</t>
  </si>
  <si>
    <t>ENSDARG00000003808</t>
  </si>
  <si>
    <t>si:dkeyp-110c7.4 [Source:ZFIN;Acc:ZDB-GENE-070705-532]</t>
  </si>
  <si>
    <t>si:dkeyp-110c7.4</t>
  </si>
  <si>
    <t>ENSDARG00000100476</t>
  </si>
  <si>
    <t>methyl-CpG binding domain protein 3a [Source:ZFIN;Acc:ZDB-GENE-030131-9077]</t>
  </si>
  <si>
    <t>mbd3a</t>
  </si>
  <si>
    <t>ENSDARG00000061774</t>
  </si>
  <si>
    <t>anaphase promoting complex subunit 16 [Source:ZFIN;Acc:ZDB-GENE-050417-430]</t>
  </si>
  <si>
    <t>anapc16</t>
  </si>
  <si>
    <t>ENSDARG00000013822</t>
  </si>
  <si>
    <t>charged multivesicular body protein 4C [Source:ZFIN;Acc:ZDB-GENE-050417-389]</t>
  </si>
  <si>
    <t>chmp4c</t>
  </si>
  <si>
    <t>ENSDARG00000007418</t>
  </si>
  <si>
    <t>zgc:65873 [Source:ZFIN;Acc:ZDB-GENE-040426-1448]</t>
  </si>
  <si>
    <t>zgc:65873</t>
  </si>
  <si>
    <t>ENSDARG00000103134</t>
  </si>
  <si>
    <t>arachidonate 12-lipoxygenase [Source:ZFIN;Acc:ZDB-GENE-030131-1452]</t>
  </si>
  <si>
    <t>alox12</t>
  </si>
  <si>
    <t>ENSDARG00000069463</t>
  </si>
  <si>
    <t>protocadherin 1b [Source:ZFIN;Acc:ZDB-GENE-091015-2]</t>
  </si>
  <si>
    <t>pcdh1b</t>
  </si>
  <si>
    <t>ENSDARG00000036175</t>
  </si>
  <si>
    <t>macrophage migration inhibitory factor [Source:ZFIN;Acc:ZDB-GENE-080708-1]</t>
  </si>
  <si>
    <t>mif</t>
  </si>
  <si>
    <t>ENSDARG00000071336</t>
  </si>
  <si>
    <t>sorting nexin 4 [Source:ZFIN;Acc:ZDB-GENE-030131-1923]</t>
  </si>
  <si>
    <t>snx4</t>
  </si>
  <si>
    <t>ENSDARG00000022659</t>
  </si>
  <si>
    <t>H6 family homeobox 3a [Source:ZFIN;Acc:ZDB-GENE-001020-1]</t>
  </si>
  <si>
    <t>hmx3a</t>
  </si>
  <si>
    <t>ENSDARG00000070955</t>
  </si>
  <si>
    <t>serine peptidase inhibitor, Kunitz type, 2 [Source:ZFIN;Acc:ZDB-GENE-061013-323]</t>
  </si>
  <si>
    <t>spint2</t>
  </si>
  <si>
    <t>ENSDARG00000069476</t>
  </si>
  <si>
    <t>selenoprotein P, plasma, 1a [Source:ZFIN;Acc:ZDB-GENE-030311-1]</t>
  </si>
  <si>
    <t>sepp1a</t>
  </si>
  <si>
    <t>ENSDARG00000093549</t>
  </si>
  <si>
    <t>hippocampus abundant transcript 1b [Source:ZFIN;Acc:ZDB-GENE-040426-2935]</t>
  </si>
  <si>
    <t>hiat1b</t>
  </si>
  <si>
    <t>ENSDARG00000043055</t>
  </si>
  <si>
    <t>copine I [Source:ZFIN;Acc:ZDB-GENE-030131-3562]</t>
  </si>
  <si>
    <t>cpne1</t>
  </si>
  <si>
    <t>ENSDARG00000075536</t>
  </si>
  <si>
    <t>p21 protein (Cdc42/Rac)-activated kinase 1 [Source:ZFIN;Acc:ZDB-GENE-030826-29]</t>
  </si>
  <si>
    <t>pak1</t>
  </si>
  <si>
    <t>ENSDARG00000103959</t>
  </si>
  <si>
    <t>zgc:158387 [Source:ZFIN;Acc:ZDB-GENE-061215-48]</t>
  </si>
  <si>
    <t>zgc:158387</t>
  </si>
  <si>
    <t>ENSDARG00000033364</t>
  </si>
  <si>
    <t>ornithine decarboxylase antizyme 1b [Source:ZFIN;Acc:ZDB-GENE-020731-5]</t>
  </si>
  <si>
    <t>oaz1b</t>
  </si>
  <si>
    <t>ENSDARG00000104782</t>
  </si>
  <si>
    <t>sorting nexin 1a [Source:ZFIN;Acc:ZDB-GENE-060302-3]</t>
  </si>
  <si>
    <t>snx1a</t>
  </si>
  <si>
    <t>ENSDARG00000071031</t>
  </si>
  <si>
    <t>globoside alpha-1,3-N-acetylgalactosaminyltransferase 1, like 3 [Source:ZFIN;Acc:ZDB-GENE-040912-46]</t>
  </si>
  <si>
    <t>gbgt1l3</t>
  </si>
  <si>
    <t>ENSDARG00000035555</t>
  </si>
  <si>
    <t>zgc:112432 [Source:ZFIN;Acc:ZDB-GENE-050417-304]</t>
  </si>
  <si>
    <t>arpin</t>
  </si>
  <si>
    <t>ENSDARG00000041085</t>
  </si>
  <si>
    <t>uncharacterized protein LOC101883816  [Source:RefSeq peptide;Acc:NP_001289175]</t>
  </si>
  <si>
    <t>CU929225.1</t>
  </si>
  <si>
    <t>ENSDARG00000060688</t>
  </si>
  <si>
    <t>myc associated factor X [Source:ZFIN;Acc:ZDB-GENE-990415-152]</t>
  </si>
  <si>
    <t>max</t>
  </si>
  <si>
    <t>ENSDARG00000024844</t>
  </si>
  <si>
    <t>ChaC, cation transport regulator homolog 1 (E. coli) [Source:ZFIN;Acc:ZDB-GENE-030131-1957]</t>
  </si>
  <si>
    <t>chac1</t>
  </si>
  <si>
    <t>ENSDARG00000070426</t>
  </si>
  <si>
    <t>DR1-associated protein 1 (negative cofactor 2 alpha) [Source:ZFIN;Acc:ZDB-GENE-030131-400]</t>
  </si>
  <si>
    <t>drap1</t>
  </si>
  <si>
    <t>ENSDARG00000041203</t>
  </si>
  <si>
    <t>hemoglobin alpha embryonic-3 [Source:ZFIN;Acc:ZDB-GENE-990706-3]</t>
  </si>
  <si>
    <t>hbae3</t>
  </si>
  <si>
    <t>ENSDARG00000079305</t>
  </si>
  <si>
    <t>RasGEF domain family, member 1Ba [Source:ZFIN;Acc:ZDB-GENE-030131-5783]</t>
  </si>
  <si>
    <t>rasgef1ba</t>
  </si>
  <si>
    <t>ENSDARG00000033614</t>
  </si>
  <si>
    <t>transmembrane protein 106A [Source:ZFIN;Acc:ZDB-GENE-030131-5129]</t>
  </si>
  <si>
    <t>tmem106a</t>
  </si>
  <si>
    <t>ENSDARG00000045075</t>
  </si>
  <si>
    <t>SIX homeobox 2a [Source:ZFIN;Acc:ZDB-GENE-010412-1]</t>
  </si>
  <si>
    <t>six2a</t>
  </si>
  <si>
    <t>ENSDARG00000058004</t>
  </si>
  <si>
    <t>ER membrane protein complex subunit 2 [Source:ZFIN;Acc:ZDB-GENE-040625-82]</t>
  </si>
  <si>
    <t>emc2</t>
  </si>
  <si>
    <t>ENSDARG00000003308</t>
  </si>
  <si>
    <t>BUB3 mitotic checkpoint protein [Source:ZFIN;Acc:ZDB-GENE-041010-210]</t>
  </si>
  <si>
    <t>bub3</t>
  </si>
  <si>
    <t>ENSDARG00000075883</t>
  </si>
  <si>
    <t>receptor accessory protein 5 [Source:ZFIN;Acc:ZDB-GENE-030131-9181]</t>
  </si>
  <si>
    <t>reep5</t>
  </si>
  <si>
    <t>ENSDARG00000100742</t>
  </si>
  <si>
    <t>NIPA-like domain containing 3 [Source:ZFIN;Acc:ZDB-GENE-040718-379]</t>
  </si>
  <si>
    <t>nipal3</t>
  </si>
  <si>
    <t>ENSDARG00000021147</t>
  </si>
  <si>
    <t>rhomboid, veinlet-like 2 (Drosophila) [Source:ZFIN;Acc:ZDB-GENE-040426-732]</t>
  </si>
  <si>
    <t>rhbdl2</t>
  </si>
  <si>
    <t>ENSDARG00000069833</t>
  </si>
  <si>
    <t>procollagen-lysine, 2-oxoglutarate 5-dioxygenase 3 [Source:ZFIN;Acc:ZDB-GENE-021031-4]</t>
  </si>
  <si>
    <t>plod3</t>
  </si>
  <si>
    <t>ENSDARG00000076317</t>
  </si>
  <si>
    <t>mitogen-activated protein kinase 12a [Source:ZFIN;Acc:ZDB-GENE-990415-257]</t>
  </si>
  <si>
    <t>mapk12a</t>
  </si>
  <si>
    <t>ENSDARG00000042021</t>
  </si>
  <si>
    <t>polymerase (RNA) II (DNA directed) polypeptide F [Source:ZFIN;Acc:ZDB-GENE-040718-279]</t>
  </si>
  <si>
    <t>polr2f</t>
  </si>
  <si>
    <t>ENSDARG00000036625</t>
  </si>
  <si>
    <t>proteasome 26S subunit, non-ATPase 4a [Source:ZFIN;Acc:ZDB-GENE-040625-104]</t>
  </si>
  <si>
    <t>psmd4a</t>
  </si>
  <si>
    <t>ENSDARG00000101295</t>
  </si>
  <si>
    <t>family with sequence similarity 46, member C [Source:ZFIN;Acc:ZDB-GENE-030131-5365]</t>
  </si>
  <si>
    <t>fam46c</t>
  </si>
  <si>
    <t>ENSDARG00000010437</t>
  </si>
  <si>
    <t>zgc:101663 [Source:ZFIN;Acc:ZDB-GENE-041114-149]</t>
  </si>
  <si>
    <t>zgc:101663</t>
  </si>
  <si>
    <t>ENSDARG00000037852</t>
  </si>
  <si>
    <t>activating transcription factor 6 [Source:ZFIN;Acc:ZDB-GENE-041014-328]</t>
  </si>
  <si>
    <t>atf6</t>
  </si>
  <si>
    <t>ENSDARG00000012656</t>
  </si>
  <si>
    <t>calcium and integrin binding 1 (calmyrin) [Source:ZFIN;Acc:ZDB-GENE-050417-170]</t>
  </si>
  <si>
    <t>cib1</t>
  </si>
  <si>
    <t>ENSDARG00000103118</t>
  </si>
  <si>
    <t>ubiquitin-conjugating enzyme E2Ib [Source:ZFIN;Acc:ZDB-GENE-990614-17]</t>
  </si>
  <si>
    <t>ube2ib</t>
  </si>
  <si>
    <t>ENSDARG00000007438</t>
  </si>
  <si>
    <t>si:ch211-202e12.3 [Source:ZFIN;Acc:ZDB-GENE-060526-81]</t>
  </si>
  <si>
    <t>si:ch211-202e12.3</t>
  </si>
  <si>
    <t>ENSDARG00000095715</t>
  </si>
  <si>
    <t>Rho GTPase activating protein 27, like [Source:ZFIN;Acc:ZDB-GENE-120406-11]</t>
  </si>
  <si>
    <t>arhgap27l</t>
  </si>
  <si>
    <t>ENSDARG00000061798</t>
  </si>
  <si>
    <t>glutathione S-transferase rho [Source:ZFIN;Acc:ZDB-GENE-090507-1]</t>
  </si>
  <si>
    <t>gstr</t>
  </si>
  <si>
    <t>ENSDARG00000042620</t>
  </si>
  <si>
    <t>VMA21 vacuolar H+-ATPase homolog (S. cerevisiae) [Source:ZFIN;Acc:ZDB-GENE-081104-272]</t>
  </si>
  <si>
    <t>vma21</t>
  </si>
  <si>
    <t>ENSDARG00000093945</t>
  </si>
  <si>
    <t>membrane-spanning 4-domains, subfamily A, member 17A.8 [Source:ZFIN;Acc:ZDB-GENE-070705-365]</t>
  </si>
  <si>
    <t>ms4a17a.8</t>
  </si>
  <si>
    <t>ENSDARG00000094854</t>
  </si>
  <si>
    <t>fermitin family member 1 [Source:ZFIN;Acc:ZDB-GENE-030131-3264]</t>
  </si>
  <si>
    <t>fermt1</t>
  </si>
  <si>
    <t>ENSDARG00000052652</t>
  </si>
  <si>
    <t>forkhead box Q1a [Source:ZFIN;Acc:ZDB-GENE-070424-74]</t>
  </si>
  <si>
    <t>foxq1a</t>
  </si>
  <si>
    <t>ENSDARG00000030896</t>
  </si>
  <si>
    <t>proteasome 26S subunit, non-ATPase 4b [Source:ZFIN;Acc:ZDB-GENE-050417-96]</t>
  </si>
  <si>
    <t>psmd4b</t>
  </si>
  <si>
    <t>ENSDARG00000023279</t>
  </si>
  <si>
    <t>TRAF-interacting protein with forkhead-associated domain [Source:HGNC Symbol;Acc:HGNC:19075]</t>
  </si>
  <si>
    <t>TIFA</t>
  </si>
  <si>
    <t>ENSDARG00000091111</t>
  </si>
  <si>
    <t>filamin A interacting protein 1-like [Source:ZFIN;Acc:ZDB-GENE-070410-7]</t>
  </si>
  <si>
    <t>filip1l</t>
  </si>
  <si>
    <t>ENSDARG00000037910</t>
  </si>
  <si>
    <t>ER membrane protein complex subunit 7 [Source:ZFIN;Acc:ZDB-GENE-041001-170]</t>
  </si>
  <si>
    <t>emc7</t>
  </si>
  <si>
    <t>ENSDARG00000012144</t>
  </si>
  <si>
    <t>Jun dimerization protein 2b [Source:ZFIN;Acc:ZDB-GENE-040718-197]</t>
  </si>
  <si>
    <t>jdp2b</t>
  </si>
  <si>
    <t>ENSDARG00000020133</t>
  </si>
  <si>
    <t>nocturnin a [Source:ZFIN;Acc:ZDB-GENE-050208-306]</t>
  </si>
  <si>
    <t>nocta</t>
  </si>
  <si>
    <t>ENSDARG00000077726</t>
  </si>
  <si>
    <t>calpain, small subunit 1 a [Source:ZFIN;Acc:ZDB-GENE-030113-3]</t>
  </si>
  <si>
    <t>capns1a</t>
  </si>
  <si>
    <t>ENSDARG00000035329</t>
  </si>
  <si>
    <t>Rab acceptor 1 (prenylated) [Source:ZFIN;Acc:ZDB-GENE-040625-146]</t>
  </si>
  <si>
    <t>rabac1</t>
  </si>
  <si>
    <t>ENSDARG00000004171</t>
  </si>
  <si>
    <t>flotillin 1b [Source:ZFIN;Acc:ZDB-GENE-020430-2]</t>
  </si>
  <si>
    <t>flot1b</t>
  </si>
  <si>
    <t>ENSDARG00000037998</t>
  </si>
  <si>
    <t>BTB and CNC homology 1, basic leucine zipper transcription factor 2a [Source:ZFIN;Acc:ZDB-GENE-120525-2]</t>
  </si>
  <si>
    <t>bach2a</t>
  </si>
  <si>
    <t>ENSDARG00000036569</t>
  </si>
  <si>
    <t>NADH dehydrogenase (ubiquinone) 1 beta subcomplex, 10 [Source:ZFIN;Acc:ZDB-GENE-040426-1691]</t>
  </si>
  <si>
    <t>ndufb10</t>
  </si>
  <si>
    <t>ENSDARG00000028889</t>
  </si>
  <si>
    <t>vesicle-associated membrane protein 3 (cellubrevin) [Source:ZFIN;Acc:ZDB-GENE-040625-45]</t>
  </si>
  <si>
    <t>vamp3</t>
  </si>
  <si>
    <t>ENSDARG00000070161</t>
  </si>
  <si>
    <t>ATP synthase, H+ transporting, mitochondrial F1 complex, beta polypeptide [Source:ZFIN;Acc:ZDB-GENE-030131-124]</t>
  </si>
  <si>
    <t>atp5b</t>
  </si>
  <si>
    <t>ENSDARG00000070083</t>
  </si>
  <si>
    <t>si:ch211-195b15.8 [Source:ZFIN;Acc:ZDB-GENE-131127-627]</t>
  </si>
  <si>
    <t>si:ch211-195b15.8</t>
  </si>
  <si>
    <t>ENSDARG00000094836</t>
  </si>
  <si>
    <t>globoside alpha-1,3-N-acetylgalactosaminyltransferase 1, like 4 [Source:ZFIN;Acc:ZDB-GENE-031204-4]</t>
  </si>
  <si>
    <t>gbgt1l4</t>
  </si>
  <si>
    <t>ENSDARG00000068503</t>
  </si>
  <si>
    <t>zgc:175088 [Source:ZFIN;Acc:ZDB-GENE-080204-124]</t>
  </si>
  <si>
    <t>FBXO2</t>
  </si>
  <si>
    <t>ENSDARG00000099306</t>
  </si>
  <si>
    <t>NIN1/RPN12 binding protein 1 homolog (S. cerevisiae) [Source:ZFIN;Acc:ZDB-GENE-030131-3112]</t>
  </si>
  <si>
    <t>nob1</t>
  </si>
  <si>
    <t>ENSDARG00000016080</t>
  </si>
  <si>
    <t>keratin 18 [Source:ZFIN;Acc:ZDB-GENE-030411-6]</t>
  </si>
  <si>
    <t>krt18</t>
  </si>
  <si>
    <t>ENSDARG00000018404</t>
  </si>
  <si>
    <t>betacellulin, epidermal growth factor family member [Source:ZFIN;Acc:ZDB-GENE-050311-1]</t>
  </si>
  <si>
    <t>btc</t>
  </si>
  <si>
    <t>ENSDARG00000098112</t>
  </si>
  <si>
    <t>CD2 (cytoplasmic tail) binding protein 2 [Source:ZFIN;Acc:ZDB-GENE-040426-925]</t>
  </si>
  <si>
    <t>cd2bp2</t>
  </si>
  <si>
    <t>ENSDARG00000027357</t>
  </si>
  <si>
    <t>si:ch73-31d8.2 [Source:ZFIN;Acc:ZDB-GENE-030131-8387]</t>
  </si>
  <si>
    <t>si:ch73-31d8.2</t>
  </si>
  <si>
    <t>ENSDARG00000097239</t>
  </si>
  <si>
    <t>transmembrane 9 superfamily member 2 [Source:ZFIN;Acc:ZDB-GENE-030131-6302]</t>
  </si>
  <si>
    <t>tm9sf2</t>
  </si>
  <si>
    <t>ENSDARG00000003866</t>
  </si>
  <si>
    <t>NAD(P)H dehydrogenase, quinone 1 [Source:ZFIN;Acc:ZDB-GENE-030131-1226]</t>
  </si>
  <si>
    <t>nqo1</t>
  </si>
  <si>
    <t>ENSDARG00000010250</t>
  </si>
  <si>
    <t>FK506 binding protein 4 [Source:ZFIN;Acc:ZDB-GENE-030131-514]</t>
  </si>
  <si>
    <t>fkbp4</t>
  </si>
  <si>
    <t>ENSDARG00000008447</t>
  </si>
  <si>
    <t>HECT domain containing 1 [Source:ZFIN;Acc:ZDB-GENE-030616-153]</t>
  </si>
  <si>
    <t>hectd1</t>
  </si>
  <si>
    <t>ENSDARG00000054213</t>
  </si>
  <si>
    <t>CCAAT/enhancer binding protein (C/EBP), delta [Source:ZFIN;Acc:ZDB-GENE-020111-4]</t>
  </si>
  <si>
    <t>cebpd</t>
  </si>
  <si>
    <t>ENSDARG00000087303</t>
  </si>
  <si>
    <t>cytohesin 1a [Source:ZFIN;Acc:ZDB-GENE-030131-657]</t>
  </si>
  <si>
    <t>cyth1a</t>
  </si>
  <si>
    <t>ENSDARG00000076742</t>
  </si>
  <si>
    <t>fibroblast growth factor receptor 2 [Source:ZFIN;Acc:ZDB-GENE-030323-1]</t>
  </si>
  <si>
    <t>fgfr2</t>
  </si>
  <si>
    <t>ENSDARG00000058115</t>
  </si>
  <si>
    <t>basic helix-loop-helix family, member e40 [Source:ZFIN;Acc:ZDB-GENE-030131-3133]</t>
  </si>
  <si>
    <t>bhlhe40</t>
  </si>
  <si>
    <t>ENSDARG00000004060</t>
  </si>
  <si>
    <t>ralA binding protein 1 [Source:ZFIN;Acc:ZDB-GENE-040426-2098]</t>
  </si>
  <si>
    <t>ralbp1</t>
  </si>
  <si>
    <t>ENSDARG00000078653</t>
  </si>
  <si>
    <t>si:ch211-214j24.10 [Source:ZFIN;Acc:ZDB-GENE-030131-6301]</t>
  </si>
  <si>
    <t>si:ch211-214j24.10</t>
  </si>
  <si>
    <t>ENSDARG00000045847</t>
  </si>
  <si>
    <t>Meis homeobox 1 a [Source:ZFIN;Acc:ZDB-GENE-020122-3]</t>
  </si>
  <si>
    <t>meis1a</t>
  </si>
  <si>
    <t>ENSDARG00000002937</t>
  </si>
  <si>
    <t>membrane-spanning 4-domains, subfamily A, member 17A.4 [Source:ZFIN;Acc:ZDB-GENE-070822-16]</t>
  </si>
  <si>
    <t>ms4a17a.4</t>
  </si>
  <si>
    <t>ENSDARG00000014024</t>
  </si>
  <si>
    <t>F-box and leucine-rich repeat protein 6 [Source:ZFIN;Acc:ZDB-GENE-060810-162]</t>
  </si>
  <si>
    <t>fbxl6</t>
  </si>
  <si>
    <t>ENSDARG00000077227</t>
  </si>
  <si>
    <t>cytochrome c, somatic b [Source:ZFIN;Acc:ZDB-GENE-040625-38]</t>
  </si>
  <si>
    <t>cycsb</t>
  </si>
  <si>
    <t>ENSDARG00000044562</t>
  </si>
  <si>
    <t>RING1 and YY1 binding protein b [Source:ZFIN;Acc:ZDB-GENE-061103-96]</t>
  </si>
  <si>
    <t>rybpb</t>
  </si>
  <si>
    <t>ENSDARG00000053459</t>
  </si>
  <si>
    <t>si:dkey-240h12.3 [Source:ZFIN;Acc:ZDB-GENE-070705-405]</t>
  </si>
  <si>
    <t>si:dkey-240h12.3</t>
  </si>
  <si>
    <t>ENSDARG00000095458</t>
  </si>
  <si>
    <t>si:zfos-1192g2.3 [Source:ZFIN;Acc:ZDB-GENE-030131-4956]</t>
  </si>
  <si>
    <t>MALSU1</t>
  </si>
  <si>
    <t>ENSDARG00000091079</t>
  </si>
  <si>
    <t>membrane-spanning 4-domains, subfamily A, member 17A.5 [Source:ZFIN;Acc:ZDB-GENE-040912-55]</t>
  </si>
  <si>
    <t>ms4a17a.5</t>
  </si>
  <si>
    <t>ENSDARG00000092204</t>
  </si>
  <si>
    <t>trinucleotide repeat containing 18 [Source:ZFIN;Acc:ZDB-GENE-100326-1]</t>
  </si>
  <si>
    <t>tnrc18</t>
  </si>
  <si>
    <t>ENSDARG00000077052</t>
  </si>
  <si>
    <t>myelocytomatosis oncogene homolog [Source:ZFIN;Acc:ZDB-GENE-030219-51]</t>
  </si>
  <si>
    <t>mych</t>
  </si>
  <si>
    <t>ENSDARG00000077473</t>
  </si>
  <si>
    <t>RAB1B, member RAS oncogene family b [Source:ZFIN;Acc:ZDB-GENE-040625-133]</t>
  </si>
  <si>
    <t>rab1bb</t>
  </si>
  <si>
    <t>ENSDARG00000056479</t>
  </si>
  <si>
    <t>nuclear transcription factor Y, gamma [Source:ZFIN;Acc:ZDB-GENE-030131-2165]</t>
  </si>
  <si>
    <t>nfyc</t>
  </si>
  <si>
    <t>ENSDARG00000070151</t>
  </si>
  <si>
    <t>protein phosphatase, Mg2+/Mn2+ dependent, 1Aa [Source:ZFIN;Acc:ZDB-GENE-991102-15]</t>
  </si>
  <si>
    <t>ppm1aa</t>
  </si>
  <si>
    <t>ENSDARG00000032155</t>
  </si>
  <si>
    <t>activin A receptor, type I like [Source:ZFIN;Acc:ZDB-GENE-990415-9]</t>
  </si>
  <si>
    <t>acvr1l</t>
  </si>
  <si>
    <t>ENSDARG00000014986</t>
  </si>
  <si>
    <t>high mobility group AT-hook 1a [Source:ZFIN;Acc:ZDB-GENE-010502-1]</t>
  </si>
  <si>
    <t>hmga1a</t>
  </si>
  <si>
    <t>ENSDARG00000028335</t>
  </si>
  <si>
    <t>si:ch211-195b13.1 [Source:ZFIN;Acc:ZDB-GENE-030131-7626]</t>
  </si>
  <si>
    <t>si:ch211-195b13.1</t>
  </si>
  <si>
    <t>ENSDARG00000016623</t>
  </si>
  <si>
    <t>nipped-B homolog b (Drosophila) [Source:ZFIN;Acc:ZDB-GENE-030131-6070]</t>
  </si>
  <si>
    <t>nipblb</t>
  </si>
  <si>
    <t>ENSDARG00000061052</t>
  </si>
  <si>
    <t>SRY (sex determining region Y)-box 1a [Source:ZFIN;Acc:ZDB-GENE-040718-186]</t>
  </si>
  <si>
    <t>sox1a</t>
  </si>
  <si>
    <t>ENSDARG00000069866</t>
  </si>
  <si>
    <t>nucleolar protein 11 [Source:ZFIN;Acc:ZDB-GENE-030131-419]</t>
  </si>
  <si>
    <t>nol11</t>
  </si>
  <si>
    <t>ENSDARG00000026767</t>
  </si>
  <si>
    <t>syntrophin, basic 1 [Source:ZFIN;Acc:ZDB-GENE-040704-13]</t>
  </si>
  <si>
    <t>sntb1</t>
  </si>
  <si>
    <t>ENSDARG00000041729</t>
  </si>
  <si>
    <t>chromatin target of PRMT1a [Source:ZFIN;Acc:ZDB-GENE-030131-210]</t>
  </si>
  <si>
    <t>chtopa</t>
  </si>
  <si>
    <t>ENSDARG00000057234</t>
  </si>
  <si>
    <t>ectonucleotide pyrophosphatase/phosphodiesterase 1 [Source:ZFIN;Acc:ZDB-GENE-040724-172]</t>
  </si>
  <si>
    <t>enpp1</t>
  </si>
  <si>
    <t>ENSDARG00000005789</t>
  </si>
  <si>
    <t>zgc:158463 [Source:ZFIN;Acc:ZDB-GENE-070410-9]</t>
  </si>
  <si>
    <t>zgc:158463</t>
  </si>
  <si>
    <t>ENSDARG00000089382</t>
  </si>
  <si>
    <t>bromodomain PHD finger transcription factor [Source:ZFIN;Acc:ZDB-GENE-030131-3200]</t>
  </si>
  <si>
    <t>bptf</t>
  </si>
  <si>
    <t>ENSDARG00000077361</t>
  </si>
  <si>
    <t>myelin expression factor 2 [Source:ZFIN;Acc:ZDB-GENE-051120-114]</t>
  </si>
  <si>
    <t>myef2</t>
  </si>
  <si>
    <t>ENSDARG00000059398</t>
  </si>
  <si>
    <t>eukaryotic translation termination factor 1b [Source:ZFIN;Acc:ZDB-GENE-021029-1]</t>
  </si>
  <si>
    <t>etf1b</t>
  </si>
  <si>
    <t>ENSDARG00000043976</t>
  </si>
  <si>
    <t>CREB binding protein b [Source:ZFIN;Acc:ZDB-GENE-050302-102]</t>
  </si>
  <si>
    <t>crebbpb</t>
  </si>
  <si>
    <t>ENSDARG00000104148</t>
  </si>
  <si>
    <t>vitamin D (1,25- dihydroxyvitamin D3) receptor b [Source:ZFIN;Acc:ZDB-GENE-080403-10]</t>
  </si>
  <si>
    <t>vdrb</t>
  </si>
  <si>
    <t>ENSDARG00000070721</t>
  </si>
  <si>
    <t>TAR DNA binding protein [Source:ZFIN;Acc:ZDB-GENE-030131-3777]</t>
  </si>
  <si>
    <t>tardbp</t>
  </si>
  <si>
    <t>ENSDARG00000040031</t>
  </si>
  <si>
    <t>NCK-associated protein 1 [Source:ZFIN;Acc:ZDB-GENE-030131-4426]</t>
  </si>
  <si>
    <t>nckap1</t>
  </si>
  <si>
    <t>ENSDARG00000060853</t>
  </si>
  <si>
    <t>cytokine receptor family member B17 [Source:ZFIN;Acc:ZDB-GENE-081022-158]</t>
  </si>
  <si>
    <t>crfb17</t>
  </si>
  <si>
    <t>ENSDARG00000074771</t>
  </si>
  <si>
    <t>si:ch211-207i1.2 [Source:ZFIN;Acc:ZDB-GENE-041014-149]</t>
  </si>
  <si>
    <t>SYNE2</t>
  </si>
  <si>
    <t>ENSDARG00000030107</t>
  </si>
  <si>
    <t>si:dkey-153m14.1 [Source:ZFIN;Acc:ZDB-GENE-120215-41]</t>
  </si>
  <si>
    <t>si:dkey-153m14.1</t>
  </si>
  <si>
    <t>ENSDARG00000096403</t>
  </si>
  <si>
    <t>major facilitator superfamily domain containing 2ab [Source:ZFIN;Acc:ZDB-GENE-040801-89]</t>
  </si>
  <si>
    <t>mfsd2ab</t>
  </si>
  <si>
    <t>ENSDARG00000035909</t>
  </si>
  <si>
    <t>si:ch211-119c20.2 [Source:ZFIN;Acc:ZDB-GENE-041001-137]</t>
  </si>
  <si>
    <t>CASKIN2</t>
  </si>
  <si>
    <t>ENSDARG00000043818</t>
  </si>
  <si>
    <t>UDP-GlcNAc:betaGal beta-1,3-N-acetylglucosaminyltransferase 3 [Source:ZFIN;Acc:ZDB-GENE-030131-8875]</t>
  </si>
  <si>
    <t>b3gnt3</t>
  </si>
  <si>
    <t>ENSDARG00000058100</t>
  </si>
  <si>
    <t>retinoic acid receptor gamma a [Source:ZFIN;Acc:ZDB-GENE-980526-531]</t>
  </si>
  <si>
    <t>rarga</t>
  </si>
  <si>
    <t>ENSDARG00000034117</t>
  </si>
  <si>
    <t>AC024175.4</t>
  </si>
  <si>
    <t>ENSDARG00000080337</t>
  </si>
  <si>
    <t>PAN3 poly(A) specific ribonuclease subunit homolog (S. cerevisiae) [Source:ZFIN;Acc:ZDB-GENE-070928-13]</t>
  </si>
  <si>
    <t>pan3</t>
  </si>
  <si>
    <t>ENSDARG00000031637</t>
  </si>
  <si>
    <t>FOS-like antigen 1a [Source:ZFIN;Acc:ZDB-GENE-061207-7]</t>
  </si>
  <si>
    <t>fosl1a</t>
  </si>
  <si>
    <t>ENSDARG00000015355</t>
  </si>
  <si>
    <t>cytochrome c oxidase I, mitochondrial [Source:ZFIN;Acc:ZDB-GENE-011205-14]</t>
  </si>
  <si>
    <t>mt-co1</t>
  </si>
  <si>
    <t>ENSDARG00000063905</t>
  </si>
  <si>
    <t>cleavage stimulation factor, 3' pre-RNA, subunit 2 [Source:ZFIN;Acc:ZDB-GENE-031118-2]</t>
  </si>
  <si>
    <t>cstf2</t>
  </si>
  <si>
    <t>ENSDARG00000090788</t>
  </si>
  <si>
    <t>ephrin-B2a [Source:ZFIN;Acc:ZDB-GENE-990415-67]</t>
  </si>
  <si>
    <t>efnb2a</t>
  </si>
  <si>
    <t>ENSDARG00000020164</t>
  </si>
  <si>
    <t>adaptor-related protein complex 1 associated regulatory protein [Source:ZFIN;Acc:ZDB-GENE-130530-580]</t>
  </si>
  <si>
    <t>ap1ar</t>
  </si>
  <si>
    <t>ENSDARG00000031496</t>
  </si>
  <si>
    <t>zgc:136963 [Source:ZFIN;Acc:ZDB-GENE-060312-8]</t>
  </si>
  <si>
    <t>FUT9</t>
  </si>
  <si>
    <t>ENSDARG00000086603</t>
  </si>
  <si>
    <t>FUT9.4</t>
  </si>
  <si>
    <t>insulin receptor substrate 2b [Source:ZFIN;Acc:ZDB-GENE-081104-462]</t>
  </si>
  <si>
    <t>irs2b</t>
  </si>
  <si>
    <t>ENSDARG00000075282</t>
  </si>
  <si>
    <t>oligosaccharyltransferase complex subunit 4 (non-catalytic) [Source:ZFIN;Acc:ZDB-GENE-110307-1]</t>
  </si>
  <si>
    <t>ost4</t>
  </si>
  <si>
    <t>ENSDARG00000096118</t>
  </si>
  <si>
    <t>solute carrier family 2 (facilitated glucose transporter), member 1b [Source:ZFIN;Acc:ZDB-GENE-090915-1]</t>
  </si>
  <si>
    <t>slc2a1b</t>
  </si>
  <si>
    <t>ENSDARG00000007412</t>
  </si>
  <si>
    <t>immunoresponsive gene 1, like [Source:ZFIN;Acc:ZDB-GENE-061103-301]</t>
  </si>
  <si>
    <t>irg1l</t>
  </si>
  <si>
    <t>ENSDARG00000062788</t>
  </si>
  <si>
    <t>prefoldin 5 [Source:ZFIN;Acc:ZDB-GENE-030131-6858]</t>
  </si>
  <si>
    <t>pfdn5</t>
  </si>
  <si>
    <t>ENSDARG00000035043</t>
  </si>
  <si>
    <t>si:ch73-376l24.6 [Source:ZFIN;Acc:ZDB-GENE-100921-87]</t>
  </si>
  <si>
    <t>TTF1</t>
  </si>
  <si>
    <t>ENSDARG00000093999</t>
  </si>
  <si>
    <t>TTF1.4</t>
  </si>
  <si>
    <t>selenoprotein W, 2a [Source:ZFIN;Acc:ZDB-GENE-030428-1]</t>
  </si>
  <si>
    <t>sepw2a</t>
  </si>
  <si>
    <t>ENSDARG00000038228</t>
  </si>
  <si>
    <t>CDK5 regulatory subunit associated protein 1 [Source:ZFIN;Acc:ZDB-GENE-070424-90]</t>
  </si>
  <si>
    <t>cdk5rap1</t>
  </si>
  <si>
    <t>ENSDARG00000044925</t>
  </si>
  <si>
    <t>growth arrest and DNA-damage-inducible, beta b [Source:ZFIN;Acc:ZDB-GENE-050223-1]</t>
  </si>
  <si>
    <t>gadd45bb</t>
  </si>
  <si>
    <t>ENSDARG00000013576</t>
  </si>
  <si>
    <t>CDC-like kinase 2a [Source:ZFIN;Acc:ZDB-GENE-030131-298]</t>
  </si>
  <si>
    <t>clk2a</t>
  </si>
  <si>
    <t>ENSDARG00000062954</t>
  </si>
  <si>
    <t>suppressor of fused homolog (Drosophila) [Source:ZFIN;Acc:ZDB-GENE-030131-6223]</t>
  </si>
  <si>
    <t>sufu</t>
  </si>
  <si>
    <t>ENSDARG00000056801</t>
  </si>
  <si>
    <t>EBNA1 binding protein 2 [Source:ZFIN;Acc:ZDB-GENE-030131-6989]</t>
  </si>
  <si>
    <t>ebna1bp2</t>
  </si>
  <si>
    <t>ENSDARG00000054980</t>
  </si>
  <si>
    <t>CCR4-NOT transcription complex, subunit 1 [Source:ZFIN;Acc:ZDB-GENE-040915-1]</t>
  </si>
  <si>
    <t>cnot1</t>
  </si>
  <si>
    <t>ENSDARG00000004174</t>
  </si>
  <si>
    <t>GTPase activating protein (SH3 domain) binding protein 1 [Source:ZFIN;Acc:ZDB-GENE-030131-7452]</t>
  </si>
  <si>
    <t>g3bp1</t>
  </si>
  <si>
    <t>ENSDARG00000017741</t>
  </si>
  <si>
    <t>si:ch211-173p18.3 [Source:ZFIN;Acc:ZDB-GENE-060503-672]</t>
  </si>
  <si>
    <t>si:ch211-173p18.3</t>
  </si>
  <si>
    <t>ENSDARG00000035821</t>
  </si>
  <si>
    <t>wingless-type MMTV integration site family member 2 [Source:ZFIN;Acc:ZDB-GENE-980526-416]</t>
  </si>
  <si>
    <t>wnt2</t>
  </si>
  <si>
    <t>ENSDARG00000041117</t>
  </si>
  <si>
    <t>si:dkey-23i12.5 [Source:ZFIN;Acc:ZDB-GENE-141222-32]</t>
  </si>
  <si>
    <t>si:dkey-23i12.5</t>
  </si>
  <si>
    <t>ENSDARG00000103682</t>
  </si>
  <si>
    <t>CDKN2A interacting protein N-terminal like [Source:ZFIN;Acc:ZDB-GENE-041010-154]</t>
  </si>
  <si>
    <t>cdkn2aipnl</t>
  </si>
  <si>
    <t>ENSDARG00000053395</t>
  </si>
  <si>
    <t>serine/threonine kinase 11 [Source:ZFIN;Acc:ZDB-GENE-050417-383]</t>
  </si>
  <si>
    <t>stk11</t>
  </si>
  <si>
    <t>ENSDARG00000046074</t>
  </si>
  <si>
    <t>translocation associated membrane protein 1 [Source:ZFIN;Acc:ZDB-GENE-021011-1]</t>
  </si>
  <si>
    <t>tram1</t>
  </si>
  <si>
    <t>ENSDARG00000019137</t>
  </si>
  <si>
    <t>si:ch211-51h9.7 [Source:ZFIN;Acc:ZDB-GENE-081104-235]</t>
  </si>
  <si>
    <t>si:ch211-51h9.7</t>
  </si>
  <si>
    <t>ENSDARG00000074720</t>
  </si>
  <si>
    <t>lysine (K)-specific demethylase 1a [Source:ZFIN;Acc:ZDB-GENE-030131-7828]</t>
  </si>
  <si>
    <t>kdm1a</t>
  </si>
  <si>
    <t>ENSDARG00000060679</t>
  </si>
  <si>
    <t>phosphofructokinase, platelet b [Source:ZFIN;Acc:ZDB-GENE-070912-634]</t>
  </si>
  <si>
    <t>pfkpb</t>
  </si>
  <si>
    <t>ENSDARG00000012801</t>
  </si>
  <si>
    <t>cAMP responsive element binding protein 3-like 2 [Source:ZFIN;Acc:ZDB-GENE-070112-1542]</t>
  </si>
  <si>
    <t>creb3l2</t>
  </si>
  <si>
    <t>ENSDARG00000063563</t>
  </si>
  <si>
    <t>SHQ1, H/ACA ribonucleoprotein assembly factor [Source:ZFIN;Acc:ZDB-GENE-070112-1412]</t>
  </si>
  <si>
    <t>shq1</t>
  </si>
  <si>
    <t>ENSDARG00000058522</t>
  </si>
  <si>
    <t>adenylate cyclase activating polypeptide 1b [Source:ZFIN;Acc:ZDB-GENE-041010-89]</t>
  </si>
  <si>
    <t>adcyap1b</t>
  </si>
  <si>
    <t>ENSDARG00000027740</t>
  </si>
  <si>
    <t>S100 calcium binding protein T [Source:ZFIN;Acc:ZDB-GENE-050320-61]</t>
  </si>
  <si>
    <t>s100t</t>
  </si>
  <si>
    <t>ENSDARG00000055589</t>
  </si>
  <si>
    <t>KH domain containing, RNA binding, signal transduction associated 1a [Source:ZFIN;Acc:ZDB-GENE-000210-25]</t>
  </si>
  <si>
    <t>khdrbs1a</t>
  </si>
  <si>
    <t>ENSDARG00000052856</t>
  </si>
  <si>
    <t>E74-like factor 1 (ets domain transcription factor) [Source:ZFIN;Acc:ZDB-GENE-980526-335]</t>
  </si>
  <si>
    <t>ef1</t>
  </si>
  <si>
    <t>ENSDARG00000020759</t>
  </si>
  <si>
    <t>cold inducible RNA binding protein a [Source:ZFIN;Acc:ZDB-GENE-050417-329]</t>
  </si>
  <si>
    <t>cirbpa</t>
  </si>
  <si>
    <t>ENSDARG00000103672</t>
  </si>
  <si>
    <t>nuclear factor, interleukin 3 regulated, member 5 [Source:ZFIN;Acc:ZDB-GENE-030131-7677]</t>
  </si>
  <si>
    <t>nfil3-5</t>
  </si>
  <si>
    <t>ENSDARG00000094965</t>
  </si>
  <si>
    <t>si:ch211-153b23.4 [Source:ZFIN;Acc:ZDB-GENE-030131-7332]</t>
  </si>
  <si>
    <t>si:ch211-153b23.4</t>
  </si>
  <si>
    <t>ENSDARG00000077169</t>
  </si>
  <si>
    <t>ribosomal protein L6 [Source:ZFIN;Acc:ZDB-GENE-030131-8671]</t>
  </si>
  <si>
    <t>rpl6</t>
  </si>
  <si>
    <t>ENSDARG00000058451</t>
  </si>
  <si>
    <t>si:ch1073-392o20.2 [Source:ZFIN;Acc:ZDB-GENE-091204-431]</t>
  </si>
  <si>
    <t>TGOLN2</t>
  </si>
  <si>
    <t>ENSDARG00000102599</t>
  </si>
  <si>
    <t>cytochrome c oxidase II, mitochondrial [Source:ZFIN;Acc:ZDB-GENE-011205-15]</t>
  </si>
  <si>
    <t>mt-co2</t>
  </si>
  <si>
    <t>ENSDARG00000063908</t>
  </si>
  <si>
    <t>keratin 5 [Source:ZFIN;Acc:ZDB-GENE-991110-23]</t>
  </si>
  <si>
    <t>krt5</t>
  </si>
  <si>
    <t>ENSDARG00000058371</t>
  </si>
  <si>
    <t>CD109 molecule [Source:ZFIN;Acc:ZDB-GENE-120215-253]</t>
  </si>
  <si>
    <t>cd109</t>
  </si>
  <si>
    <t>ENSDARG00000060609</t>
  </si>
  <si>
    <t>vesicle-associated membrane protein 8 (endobrevin) [Source:ZFIN;Acc:ZDB-GENE-030131-5215]</t>
  </si>
  <si>
    <t>vamp8</t>
  </si>
  <si>
    <t>ENSDARG00000024116</t>
  </si>
  <si>
    <t>serum deprivation response b [Source:ZFIN;Acc:ZDB-GENE-040912-149]</t>
  </si>
  <si>
    <t>sdprb</t>
  </si>
  <si>
    <t>ENSDARG00000071196</t>
  </si>
  <si>
    <t>glucosamine-phosphate N-acetyltransferase 1 [Source:ZFIN;Acc:ZDB-GENE-050522-450]</t>
  </si>
  <si>
    <t>gnpnat1</t>
  </si>
  <si>
    <t>ENSDARG00000039892</t>
  </si>
  <si>
    <t>zgc:85975 [Source:ZFIN;Acc:ZDB-GENE-040426-2417]</t>
  </si>
  <si>
    <t>CKAP4</t>
  </si>
  <si>
    <t>ENSDARG00000032405</t>
  </si>
  <si>
    <t>signal sequence receptor, beta [Source:ZFIN;Acc:ZDB-GENE-010413-1]</t>
  </si>
  <si>
    <t>ssr2</t>
  </si>
  <si>
    <t>ENSDARG00000005230</t>
  </si>
  <si>
    <t>signal sequence receptor, delta [Source:ZFIN;Acc:ZDB-GENE-030131-4900]</t>
  </si>
  <si>
    <t>ssr4</t>
  </si>
  <si>
    <t>ENSDARG00000019444</t>
  </si>
  <si>
    <t>death associated protein 1b [Source:ZFIN;Acc:ZDB-GENE-000511-4]</t>
  </si>
  <si>
    <t>dap1b</t>
  </si>
  <si>
    <t>ENSDARG00000036895</t>
  </si>
  <si>
    <t>dap1b.1</t>
  </si>
  <si>
    <t>zgc:162730 [Source:ZFIN;Acc:ZDB-GENE-030131-6366]</t>
  </si>
  <si>
    <t>ZFP36</t>
  </si>
  <si>
    <t>ENSDARG00000103720</t>
  </si>
  <si>
    <t>hes-related family bHLH transcription factor with YRPW motif 1 [Source:ZFIN;Acc:ZDB-GENE-000607-70]</t>
  </si>
  <si>
    <t>hey1</t>
  </si>
  <si>
    <t>ENSDARG00000070538</t>
  </si>
  <si>
    <t>Kruppel-like factor 2b [Source:ZFIN;Acc:ZDB-GENE-011109-2]</t>
  </si>
  <si>
    <t>klf2b</t>
  </si>
  <si>
    <t>ENSDARG00000040432</t>
  </si>
  <si>
    <t>phorbol-12-myristate-13-acetate-induced protein 1 [Source:ZFIN;Acc:ZDB-GENE-070119-3]</t>
  </si>
  <si>
    <t>pmaip1</t>
  </si>
  <si>
    <t>ENSDARG00000089307</t>
  </si>
  <si>
    <t>ADP-ribosylation factor-like 1 [Source:ZFIN;Acc:ZDB-GENE-040718-175]</t>
  </si>
  <si>
    <t>arl1</t>
  </si>
  <si>
    <t>ENSDARG00000101680</t>
  </si>
  <si>
    <t>signal sequence receptor, gamma [Source:ZFIN;Acc:ZDB-GENE-030131-9134]</t>
  </si>
  <si>
    <t>ssr3</t>
  </si>
  <si>
    <t>ENSDARG00000014165</t>
  </si>
  <si>
    <t>si:ch73-347e22.8 [Source:ZFIN;Acc:ZDB-GENE-030131-8455]</t>
  </si>
  <si>
    <t>si:ch73-347e22.8</t>
  </si>
  <si>
    <t>ENSDARG00000103322</t>
  </si>
  <si>
    <t>caveolin 1 [Source:ZFIN;Acc:ZDB-GENE-030131-2415]</t>
  </si>
  <si>
    <t>cav1</t>
  </si>
  <si>
    <t>ENSDARG00000103747</t>
  </si>
  <si>
    <t>keratin 4 [Source:ZFIN;Acc:ZDB-GENE-000607-83]</t>
  </si>
  <si>
    <t>krt4</t>
  </si>
  <si>
    <t>ENSDARG00000017624</t>
  </si>
  <si>
    <t>ubiquitin C [Source:ZFIN;Acc:ZDB-GENE-061110-88]</t>
  </si>
  <si>
    <t>ubc</t>
  </si>
  <si>
    <t>ENSDARG00000102632</t>
  </si>
  <si>
    <t>keratin 8 [Source:ZFIN;Acc:ZDB-GENE-030411-5]</t>
  </si>
  <si>
    <t>krt8</t>
  </si>
  <si>
    <t>ENSDARG00000058358</t>
  </si>
  <si>
    <t>centromere protein W [Source:ZFIN;Acc:ZDB-GENE-100922-200]</t>
  </si>
  <si>
    <t>cenpw</t>
  </si>
  <si>
    <t>ENSDARG00000092136</t>
  </si>
  <si>
    <t>DNA replication and sister chromatid cohesion 1 [Source:ZFIN;Acc:ZDB-GENE-040912-35]</t>
  </si>
  <si>
    <t>dscc1</t>
  </si>
  <si>
    <t>ENSDARG00000019907</t>
  </si>
  <si>
    <t>MUS81 structure-specific endonuclease subunit [Source:ZFIN;Acc:ZDB-GENE-040426-2923]</t>
  </si>
  <si>
    <t>mus81</t>
  </si>
  <si>
    <t>ENSDARG00000069326</t>
  </si>
  <si>
    <t>establishment of sister chromatid cohesion N-acetyltransferase 2 [Source:ZFIN;Acc:ZDB-GENE-050913-156]</t>
  </si>
  <si>
    <t>esco2</t>
  </si>
  <si>
    <t>ENSDARG00000014685</t>
  </si>
  <si>
    <t>polymerase (DNA directed), delta 1, catalytic subunit [Source:ZFIN;Acc:ZDB-GENE-060429-1]</t>
  </si>
  <si>
    <t>pold1</t>
  </si>
  <si>
    <t>ENSDARG00000027689</t>
  </si>
  <si>
    <t>karyopherin alpha 2 (RAG cohort 1, importin alpha 1) [Source:ZFIN;Acc:ZDB-GENE-040718-22]</t>
  </si>
  <si>
    <t>kpna2</t>
  </si>
  <si>
    <t>ENSDARG00000038066</t>
  </si>
  <si>
    <t>HAUS augmin-like complex, subunit 1 [Source:ZFIN;Acc:ZDB-GENE-091204-387]</t>
  </si>
  <si>
    <t>haus1</t>
  </si>
  <si>
    <t>ENSDARG00000058968</t>
  </si>
  <si>
    <t>DEK proto-oncogene [Source:ZFIN;Acc:ZDB-GENE-060512-191]</t>
  </si>
  <si>
    <t>dek</t>
  </si>
  <si>
    <t>ENSDARG00000070108</t>
  </si>
  <si>
    <t>spindle and kinetochore associated complex subunit 1 [Source:ZFIN;Acc:ZDB-GENE-040718-334]</t>
  </si>
  <si>
    <t>ska1</t>
  </si>
  <si>
    <t>ENSDARG00000039354</t>
  </si>
  <si>
    <t>nuclear transport factor 2, like [Source:ZFIN;Acc:ZDB-GENE-020416-1]</t>
  </si>
  <si>
    <t>nutf2l</t>
  </si>
  <si>
    <t>ENSDARG00000014499</t>
  </si>
  <si>
    <t>replication factor C (activator 1) 5 [Source:ZFIN;Acc:ZDB-GENE-040907-1]</t>
  </si>
  <si>
    <t>rfc5</t>
  </si>
  <si>
    <t>ENSDARG00000035634</t>
  </si>
  <si>
    <t>cell division cycle associated 8 [Source:ZFIN;Acc:ZDB-GENE-041114-171]</t>
  </si>
  <si>
    <t>cdca8</t>
  </si>
  <si>
    <t>ENSDARG00000043137</t>
  </si>
  <si>
    <t>proliferation associated nuclear element [Source:ZFIN;Acc:ZDB-GENE-040611-4]</t>
  </si>
  <si>
    <t>pane1</t>
  </si>
  <si>
    <t>ENSDARG00000024681</t>
  </si>
  <si>
    <t>deoxythymidylate kinase (thymidylate kinase) [Source:ZFIN;Acc:ZDB-GENE-990603-11]</t>
  </si>
  <si>
    <t>dtymk</t>
  </si>
  <si>
    <t>ENSDARG00000052103</t>
  </si>
  <si>
    <t>primase, DNA, polypeptide 1 [Source:ZFIN;Acc:ZDB-GENE-990603-6]</t>
  </si>
  <si>
    <t>prim1</t>
  </si>
  <si>
    <t>ENSDARG00000040163</t>
  </si>
  <si>
    <t>si:ch1073-159d7.2 [Source:ZFIN;Acc:ZDB-GENE-160113-89]</t>
  </si>
  <si>
    <t>si:ch1073-159d7.2</t>
  </si>
  <si>
    <t>ENSDARG00000105409</t>
  </si>
  <si>
    <t>ATPase family, AAA domain containing 2 [Source:ZFIN;Acc:ZDB-GENE-030131-7003]</t>
  </si>
  <si>
    <t>atad2</t>
  </si>
  <si>
    <t>ENSDARG00000076590</t>
  </si>
  <si>
    <t>flap structure-specific endonuclease 1 [Source:ZFIN;Acc:ZDB-GENE-031112-11]</t>
  </si>
  <si>
    <t>fen1</t>
  </si>
  <si>
    <t>ENSDARG00000011404</t>
  </si>
  <si>
    <t>GINS complex subunit 2 [Source:ZFIN;Acc:ZDB-GENE-050419-19]</t>
  </si>
  <si>
    <t>gins2</t>
  </si>
  <si>
    <t>ENSDARG00000002304</t>
  </si>
  <si>
    <t>si:dkey-95p16.2 [Source:ZFIN;Acc:ZDB-GENE-081105-65]</t>
  </si>
  <si>
    <t>si:dkey-95p16.2</t>
  </si>
  <si>
    <t>ENSDARG00000093484</t>
  </si>
  <si>
    <t>NDC80 kinetochore complex component [Source:ZFIN;Acc:ZDB-GENE-030131-904]</t>
  </si>
  <si>
    <t>ndc80</t>
  </si>
  <si>
    <t>ENSDARG00000071694</t>
  </si>
  <si>
    <t>F-box protein 5 [Source:ZFIN;Acc:ZDB-GENE-030131-4027]</t>
  </si>
  <si>
    <t>fbxo5</t>
  </si>
  <si>
    <t>ENSDARG00000039020</t>
  </si>
  <si>
    <t>dihydrofolate reductase [Source:ZFIN;Acc:ZDB-GENE-010406-5]</t>
  </si>
  <si>
    <t>dhfr</t>
  </si>
  <si>
    <t>ENSDARG00000004251</t>
  </si>
  <si>
    <t>SRY (sex determining region Y)-box 4a [Source:ZFIN;Acc:ZDB-GENE-030131-8290]</t>
  </si>
  <si>
    <t>sox4a</t>
  </si>
  <si>
    <t>ENSDARG00000096389</t>
  </si>
  <si>
    <t>sox4a.1</t>
  </si>
  <si>
    <t>replication factor C (activator 1) 4 [Source:ZFIN;Acc:ZDB-GENE-040824-3]</t>
  </si>
  <si>
    <t>rfc4</t>
  </si>
  <si>
    <t>ENSDARG00000042458</t>
  </si>
  <si>
    <t>high mobility group box 2a [Source:ZFIN;Acc:ZDB-GENE-051120-126]</t>
  </si>
  <si>
    <t>hmgb2a</t>
  </si>
  <si>
    <t>ENSDARG00000029722</t>
  </si>
  <si>
    <t>zgc:110425 [Source:ZFIN;Acc:ZDB-GENE-050522-103]</t>
  </si>
  <si>
    <t>zgc:110425</t>
  </si>
  <si>
    <t>ENSDARG00000058479</t>
  </si>
  <si>
    <t>origin recognition complex, subunit 4 [Source:ZFIN;Acc:ZDB-GENE-040426-2224]</t>
  </si>
  <si>
    <t>orc4</t>
  </si>
  <si>
    <t>ENSDARG00000101161</t>
  </si>
  <si>
    <t>HAUS augmin-like complex, subunit 4 [Source:ZFIN;Acc:ZDB-GENE-040718-122]</t>
  </si>
  <si>
    <t>haus4</t>
  </si>
  <si>
    <t>ENSDARG00000016594</t>
  </si>
  <si>
    <t>centromere protein F [Source:ZFIN;Acc:ZDB-GENE-041111-205]</t>
  </si>
  <si>
    <t>cenpf</t>
  </si>
  <si>
    <t>ENSDARG00000055133</t>
  </si>
  <si>
    <t>ligase I, DNA, ATP-dependent [Source:ZFIN;Acc:ZDB-GENE-110404-2]</t>
  </si>
  <si>
    <t>lig1</t>
  </si>
  <si>
    <t>ENSDARG00000060041</t>
  </si>
  <si>
    <t>zgc:86764 [Source:ZFIN;Acc:ZDB-GENE-040718-435]</t>
  </si>
  <si>
    <t>zgc:86764</t>
  </si>
  <si>
    <t>ENSDARG00000005098</t>
  </si>
  <si>
    <t>stem-loop binding protein [Source:ZFIN;Acc:ZDB-GENE-030131-9686]</t>
  </si>
  <si>
    <t>slbp</t>
  </si>
  <si>
    <t>ENSDARG00000100558</t>
  </si>
  <si>
    <t>serine hydroxymethyltransferase 1 (soluble) [Source:ZFIN;Acc:ZDB-GENE-040426-1558]</t>
  </si>
  <si>
    <t>shmt1</t>
  </si>
  <si>
    <t>ENSDARG00000052816</t>
  </si>
  <si>
    <t>polo-like kinase 1 (Drosophila) [Source:ZFIN;Acc:ZDB-GENE-021115-7]</t>
  </si>
  <si>
    <t>plk1</t>
  </si>
  <si>
    <t>ENSDARG00000058471</t>
  </si>
  <si>
    <t>nucleolar and spindle associated protein 1 [Source:ZFIN;Acc:ZDB-GENE-030827-5]</t>
  </si>
  <si>
    <t>nusap1</t>
  </si>
  <si>
    <t>ENSDARG00000002403</t>
  </si>
  <si>
    <t>stimulated by retinoic acid 13 homolog (mouse) [Source:ZFIN;Acc:ZDB-GENE-110411-78]</t>
  </si>
  <si>
    <t>stra13</t>
  </si>
  <si>
    <t>ENSDARG00000089291</t>
  </si>
  <si>
    <t>non-SMC condensin I complex, subunit G [Source:ZFIN;Acc:ZDB-GENE-041111-282]</t>
  </si>
  <si>
    <t>ncapg</t>
  </si>
  <si>
    <t>ENSDARG00000070109</t>
  </si>
  <si>
    <t>deltaD [Source:ZFIN;Acc:ZDB-GENE-990415-47]</t>
  </si>
  <si>
    <t>dld</t>
  </si>
  <si>
    <t>ENSDARG00000020219</t>
  </si>
  <si>
    <t>Rac GTPase activating protein 1 [Source:ZFIN;Acc:ZDB-GENE-030131-1917]</t>
  </si>
  <si>
    <t>racgap1</t>
  </si>
  <si>
    <t>ENSDARG00000015460</t>
  </si>
  <si>
    <t>CDC28 protein kinase regulatory subunit 2 [Source:ZFIN;Acc:ZDB-GENE-050208-508]</t>
  </si>
  <si>
    <t>cks2</t>
  </si>
  <si>
    <t>ENSDARG00000071410</t>
  </si>
  <si>
    <t>PDZ binding kinase [Source:ZFIN;Acc:ZDB-GENE-030523-2]</t>
  </si>
  <si>
    <t>pbk</t>
  </si>
  <si>
    <t>ENSDARG00000007221</t>
  </si>
  <si>
    <t>ubiquitin-conjugating enzyme E2C [Source:ZFIN;Acc:ZDB-GENE-051030-48]</t>
  </si>
  <si>
    <t>ube2c</t>
  </si>
  <si>
    <t>ENSDARG00000101618</t>
  </si>
  <si>
    <t>kinetochore-localized astrin/SPAG5 binding protein [Source:ZFIN;Acc:ZDB-GENE-081022-187]</t>
  </si>
  <si>
    <t>knstrn</t>
  </si>
  <si>
    <t>ENSDARG00000074379</t>
  </si>
  <si>
    <t>MIS12 kinetochore complex component [Source:ZFIN;Acc:ZDB-GENE-040426-1372]</t>
  </si>
  <si>
    <t>mis12</t>
  </si>
  <si>
    <t>ENSDARG00000026454</t>
  </si>
  <si>
    <t>non-SMC condensin I complex, subunit H [Source:ZFIN;Acc:ZDB-GENE-070112-652]</t>
  </si>
  <si>
    <t>ncaph</t>
  </si>
  <si>
    <t>ENSDARG00000061468</t>
  </si>
  <si>
    <t>TPX2, microtubule-associated, homolog (Xenopus laevis) [Source:ZFIN;Acc:ZDB-GENE-030131-9652]</t>
  </si>
  <si>
    <t>tpx2</t>
  </si>
  <si>
    <t>ENSDARG00000078654</t>
  </si>
  <si>
    <t>discs, large (Drosophila) homolog-associated protein 5 [Source:ZFIN;Acc:ZDB-GENE-040912-160]</t>
  </si>
  <si>
    <t>dlgap5</t>
  </si>
  <si>
    <t>ENSDARG00000045167</t>
  </si>
  <si>
    <t>kinesin family member 11 [Source:ZFIN;Acc:ZDB-GENE-020426-1]</t>
  </si>
  <si>
    <t>kif11</t>
  </si>
  <si>
    <t>ENSDARG00000010948</t>
  </si>
  <si>
    <t>retinoblastoma binding protein 4 [Source:ZFIN;Acc:ZDB-GENE-030131-445]</t>
  </si>
  <si>
    <t>rbbp4</t>
  </si>
  <si>
    <t>ENSDARG00000029058</t>
  </si>
  <si>
    <t>ubiquitin-conjugating enzyme E2T (putative) [Source:ZFIN;Acc:ZDB-GENE-061013-547]</t>
  </si>
  <si>
    <t>ube2t</t>
  </si>
  <si>
    <t>ENSDARG00000063285</t>
  </si>
  <si>
    <t>RAD51 recombinase [Source:ZFIN;Acc:ZDB-GENE-040426-2286]</t>
  </si>
  <si>
    <t>rad51</t>
  </si>
  <si>
    <t>ENSDARG00000041411</t>
  </si>
  <si>
    <t>kinesin family member C1 [Source:ZFIN;Acc:ZDB-GENE-000208-21]</t>
  </si>
  <si>
    <t>kifc1</t>
  </si>
  <si>
    <t>ENSDARG00000001558</t>
  </si>
  <si>
    <t>si:dkey-16m19.4 [Source:ZFIN;Acc:ZDB-GENE-060503-618]</t>
  </si>
  <si>
    <t>si:dkey-16m19.4</t>
  </si>
  <si>
    <t>ENSDARG00000091937</t>
  </si>
  <si>
    <t>structural maintenance of chromosomes 4 [Source:ZFIN;Acc:ZDB-GENE-020419-21]</t>
  </si>
  <si>
    <t>smc4</t>
  </si>
  <si>
    <t>ENSDARG00000038882</t>
  </si>
  <si>
    <t>replication protein A3 [Source:ZFIN;Acc:ZDB-GENE-040426-977]</t>
  </si>
  <si>
    <t>rpa3</t>
  </si>
  <si>
    <t>ENSDARG00000002613</t>
  </si>
  <si>
    <t>minichromosome maintenance complex component 7 [Source:ZFIN;Acc:ZDB-GENE-020419-27]</t>
  </si>
  <si>
    <t>mcm7</t>
  </si>
  <si>
    <t>ENSDARG00000101180</t>
  </si>
  <si>
    <t>nuclear autoantigenic sperm protein (histone-binding) [Source:ZFIN;Acc:ZDB-GENE-030131-5511]</t>
  </si>
  <si>
    <t>nasp</t>
  </si>
  <si>
    <t>ENSDARG00000039208</t>
  </si>
  <si>
    <t>non-SMC condensin I complex, subunit D2 [Source:ZFIN;Acc:ZDB-GENE-050506-59]</t>
  </si>
  <si>
    <t>ncapd2</t>
  </si>
  <si>
    <t>ENSDARG00000005058</t>
  </si>
  <si>
    <t>SPC25, NDC80 kinetochore complex component, homolog (S. cerevisiae) [Source:ZFIN;Acc:ZDB-GENE-060810-13]</t>
  </si>
  <si>
    <t>spc25</t>
  </si>
  <si>
    <t>ENSDARG00000078433</t>
  </si>
  <si>
    <t>SPC24, NDC80 kinetochore complex component, homolog (S. cerevisiae) [Source:ZFIN;Acc:ZDB-GENE-050522-456]</t>
  </si>
  <si>
    <t>spc24</t>
  </si>
  <si>
    <t>ENSDARG00000093622</t>
  </si>
  <si>
    <t>cell division cycle associated 5 [Source:ZFIN;Acc:ZDB-GENE-030131-235]</t>
  </si>
  <si>
    <t>cdca5</t>
  </si>
  <si>
    <t>ENSDARG00000044437</t>
  </si>
  <si>
    <t>chromatin assembly factor 1, subunit A (p150) [Source:ZFIN;Acc:ZDB-GENE-030131-5366]</t>
  </si>
  <si>
    <t>chaf1a</t>
  </si>
  <si>
    <t>ENSDARG00000062152</t>
  </si>
  <si>
    <t>thymidylate synthetase [Source:ZFIN;Acc:ZDB-GENE-040426-59]</t>
  </si>
  <si>
    <t>tyms</t>
  </si>
  <si>
    <t>ENSDARG00000042894</t>
  </si>
  <si>
    <t>replication protein A2 [Source:ZFIN;Acc:ZDB-GENE-010131-3]</t>
  </si>
  <si>
    <t>rpa2</t>
  </si>
  <si>
    <t>ENSDARG00000037188</t>
  </si>
  <si>
    <t>high mobility group box 2b [Source:ZFIN;Acc:ZDB-GENE-040912-122]</t>
  </si>
  <si>
    <t>hmgb2b</t>
  </si>
  <si>
    <t>ENSDARG00000053990</t>
  </si>
  <si>
    <t>si:dkey-108k21.23 [Source:ZFIN;Acc:ZDB-GENE-131121-114]</t>
  </si>
  <si>
    <t>si:dkey-108k21.23</t>
  </si>
  <si>
    <t>ENSDARG00000089737</t>
  </si>
  <si>
    <t>si:ch211-156b7.4 [Source:ZFIN;Acc:ZDB-GENE-141212-376]</t>
  </si>
  <si>
    <t>si:ch211-156b7.4</t>
  </si>
  <si>
    <t>ENSDARG00000101707</t>
  </si>
  <si>
    <t>structural maintenance of chromosomes 2 [Source:ZFIN;Acc:ZDB-GENE-030131-105]</t>
  </si>
  <si>
    <t>smc2</t>
  </si>
  <si>
    <t>ENSDARG00000017744</t>
  </si>
  <si>
    <t>H2A histone family, member X [Source:ZFIN;Acc:ZDB-GENE-040426-987]</t>
  </si>
  <si>
    <t>h2afx</t>
  </si>
  <si>
    <t>ENSDARG00000029406</t>
  </si>
  <si>
    <t>tubulin, beta 2b [Source:ZFIN;Acc:ZDB-GENE-030131-722]</t>
  </si>
  <si>
    <t>tubb2b</t>
  </si>
  <si>
    <t>ENSDARG00000098591</t>
  </si>
  <si>
    <t>si:dkey-6i22.5 [Source:ZFIN;Acc:ZDB-GENE-050506-32]</t>
  </si>
  <si>
    <t>PMF1</t>
  </si>
  <si>
    <t>ENSDARG00000077822</t>
  </si>
  <si>
    <t>deoxyuridine triphosphatase [Source:HGNC Symbol;Acc:HGNC:3078]</t>
  </si>
  <si>
    <t>DUT</t>
  </si>
  <si>
    <t>ENSDARG00000102748</t>
  </si>
  <si>
    <t>inner centromere protein [Source:HGNC Symbol;Acc:HGNC:6058]</t>
  </si>
  <si>
    <t>INCENP</t>
  </si>
  <si>
    <t>ENSDARG00000099194</t>
  </si>
  <si>
    <t>deoxycytidine kinase [Source:ZFIN;Acc:ZDB-GENE-041024-3]</t>
  </si>
  <si>
    <t>dck</t>
  </si>
  <si>
    <t>ENSDARG00000044807</t>
  </si>
  <si>
    <t>ribonucleotide reductase M1 polypeptide [Source:ZFIN;Acc:ZDB-GENE-990415-247]</t>
  </si>
  <si>
    <t>rrm1</t>
  </si>
  <si>
    <t>ENSDARG00000014017</t>
  </si>
  <si>
    <t>ribonucleotide reductase M2 polypeptide [Source:ZFIN;Acc:ZDB-GENE-990415-25]</t>
  </si>
  <si>
    <t>rrm2</t>
  </si>
  <si>
    <t>ENSDARG00000020711</t>
  </si>
  <si>
    <t>rrm2.1</t>
  </si>
  <si>
    <t>CDC28 protein kinase regulatory subunit 1B [Source:ZFIN;Acc:ZDB-GENE-040801-112]</t>
  </si>
  <si>
    <t>cks1b</t>
  </si>
  <si>
    <t>ENSDARG00000007971</t>
  </si>
  <si>
    <t>lamin B receptor [Source:ZFIN;Acc:ZDB-GENE-030804-11]</t>
  </si>
  <si>
    <t>lbr</t>
  </si>
  <si>
    <t>ENSDARG00000014013</t>
  </si>
  <si>
    <t>cyclin-dependent kinase 1 [Source:ZFIN;Acc:ZDB-GENE-010320-1]</t>
  </si>
  <si>
    <t>cdk1</t>
  </si>
  <si>
    <t>ENSDARG00000087554</t>
  </si>
  <si>
    <t>cyclin A2 [Source:ZFIN;Acc:ZDB-GENE-020418-1]</t>
  </si>
  <si>
    <t>ccna2</t>
  </si>
  <si>
    <t>ENSDARG00000011094</t>
  </si>
  <si>
    <t>aurora kinase B [Source:ZFIN;Acc:ZDB-GENE-020419-40]</t>
  </si>
  <si>
    <t>aurkb</t>
  </si>
  <si>
    <t>ENSDARG00000037640</t>
  </si>
  <si>
    <t>topoisomerase (DNA) II alpha [Source:ZFIN;Acc:ZDB-GENE-030131-2453]</t>
  </si>
  <si>
    <t>top2a</t>
  </si>
  <si>
    <t>ENSDARG00000024488</t>
  </si>
  <si>
    <t>MAD2 mitotic arrest deficient-like 1 (yeast) [Source:ZFIN;Acc:ZDB-GENE-030515-3]</t>
  </si>
  <si>
    <t>mad2l1</t>
  </si>
  <si>
    <t>ENSDARG00000004713</t>
  </si>
  <si>
    <t>solute carrier family 29 (equilibrative nucleoside transporter), member 2 [Source:ZFIN;Acc:ZDB-GENE-050220-15]</t>
  </si>
  <si>
    <t>slc29a2</t>
  </si>
  <si>
    <t>ENSDARG00000001767</t>
  </si>
  <si>
    <t>KIAA0101 [Source:ZFIN;Acc:ZDB-GENE-131127-543]</t>
  </si>
  <si>
    <t>kiaa0101</t>
  </si>
  <si>
    <t>ENSDARG00000097691</t>
  </si>
  <si>
    <t>zgc:110540 [Source:ZFIN;Acc:ZDB-GENE-050327-77]</t>
  </si>
  <si>
    <t>zgc:110540</t>
  </si>
  <si>
    <t>ENSDARG00000054929</t>
  </si>
  <si>
    <t>proliferating cell nuclear antigen [Source:ZFIN;Acc:ZDB-GENE-000210-8]</t>
  </si>
  <si>
    <t>pcna</t>
  </si>
  <si>
    <t>ENSDARG00000054155</t>
  </si>
  <si>
    <t>anti-silencing function 1Ba histone chaperone [Source:ZFIN;Acc:ZDB-GENE-031118-197]</t>
  </si>
  <si>
    <t>asf1ba</t>
  </si>
  <si>
    <t>ENSDARG00000101037</t>
  </si>
  <si>
    <t>ENSDARG00000078069</t>
  </si>
  <si>
    <t>marker of proliferation Ki-67 [Source:ZFIN;Acc:ZDB-GENE-030131-9771]</t>
  </si>
  <si>
    <t>mki67</t>
  </si>
  <si>
    <t>ENSDARG00000091150</t>
  </si>
  <si>
    <t>muscle-specific beta 1 integrin binding protein [Source:ZFIN;Acc:ZDB-GENE-030404-1]</t>
  </si>
  <si>
    <t>mibp</t>
  </si>
  <si>
    <t>ENSDARG00000101362</t>
  </si>
  <si>
    <t>stathmin 1a [Source:ZFIN;Acc:ZDB-GENE-031006-14]</t>
  </si>
  <si>
    <t>stmn1a</t>
  </si>
  <si>
    <t>ENSDARG00000004169</t>
  </si>
  <si>
    <t>BX649497.2</t>
  </si>
  <si>
    <t>ENSDARG00000099359</t>
  </si>
  <si>
    <t>formin homology 2 domain containing 3b [Source:ZFIN;Acc:ZDB-GENE-081028-61]</t>
  </si>
  <si>
    <t>fhod3b</t>
  </si>
  <si>
    <t>ENSDARG00000061904</t>
  </si>
  <si>
    <t>PDZ domain containing 3a [Source:ZFIN;Acc:ZDB-GENE-080430-1]</t>
  </si>
  <si>
    <t>pdzd3a</t>
  </si>
  <si>
    <t>ENSDARG00000040568</t>
  </si>
  <si>
    <t>dehydrogenase/reductase (SDR family) member 3a [Source:ZFIN;Acc:ZDB-GENE-040801-217]</t>
  </si>
  <si>
    <t>dhrs3a</t>
  </si>
  <si>
    <t>ENSDARG00000044982</t>
  </si>
  <si>
    <t>proline rich 15-like b [Source:ZFIN;Acc:ZDB-GENE-050417-201]</t>
  </si>
  <si>
    <t>prr15lb</t>
  </si>
  <si>
    <t>ENSDARG00000029308</t>
  </si>
  <si>
    <t>si:ch211-202f5.3 [Source:ZFIN;Acc:ZDB-GENE-030131-1042]</t>
  </si>
  <si>
    <t>si:ch211-202f5.3</t>
  </si>
  <si>
    <t>ENSDARG00000092998</t>
  </si>
  <si>
    <t>si:dkey-4p15.3 [Source:ZFIN;Acc:ZDB-GENE-121214-31]</t>
  </si>
  <si>
    <t>HSPA8</t>
  </si>
  <si>
    <t>ENSDARG00000037403</t>
  </si>
  <si>
    <t>transmembrane protein 45a [Source:ZFIN;Acc:ZDB-GENE-050522-34]</t>
  </si>
  <si>
    <t>tmem45a</t>
  </si>
  <si>
    <t>ENSDARG00000070743</t>
  </si>
  <si>
    <t>AL954146.2</t>
  </si>
  <si>
    <t>ENSDARG00000052517</t>
  </si>
  <si>
    <t>solute carrier family 7 (amino acid transporter light chain, L system), member 8 [Source:HGNC Symbol;Acc:HGNC:11066]</t>
  </si>
  <si>
    <t>SLC7A8</t>
  </si>
  <si>
    <t>ENSDARG00000054343</t>
  </si>
  <si>
    <t>tubulin polymerization-promoting protein family member 3 [Source:ZFIN;Acc:ZDB-GENE-040426-1909]</t>
  </si>
  <si>
    <t>tppp3</t>
  </si>
  <si>
    <t>ENSDARG00000030463</t>
  </si>
  <si>
    <t>keratin 92 [Source:ZFIN;Acc:ZDB-GENE-050417-363]</t>
  </si>
  <si>
    <t>krt92</t>
  </si>
  <si>
    <t>ENSDARG00000036834</t>
  </si>
  <si>
    <t>prospero homeobox 1a [Source:ZFIN;Acc:ZDB-GENE-980526-397]</t>
  </si>
  <si>
    <t>prox1a</t>
  </si>
  <si>
    <t>ENSDARG00000055158</t>
  </si>
  <si>
    <t>fatty acid binding protein 7, brain, a [Source:ZFIN;Acc:ZDB-GENE-000627-1]</t>
  </si>
  <si>
    <t>fabp7a</t>
  </si>
  <si>
    <t>ENSDARG00000007697</t>
  </si>
  <si>
    <t>UDP glucuronosyltransferase 1 family, polypeptide A1 [Source:ZFIN;Acc:ZDB-GENE-071004-4]</t>
  </si>
  <si>
    <t>ugt1a1</t>
  </si>
  <si>
    <t>ENSDARG00000006220</t>
  </si>
  <si>
    <t>CD81 molecule a [Source:ZFIN;Acc:ZDB-GENE-000831-5]</t>
  </si>
  <si>
    <t>cd81a</t>
  </si>
  <si>
    <t>ENSDARG00000036080</t>
  </si>
  <si>
    <t>arrestin domain containing 3a [Source:ZFIN;Acc:ZDB-GENE-030131-2913]</t>
  </si>
  <si>
    <t>arrdc3a</t>
  </si>
  <si>
    <t>ENSDARG00000052690</t>
  </si>
  <si>
    <t>Rho GTPase activating protein 32a [Source:ZFIN;Acc:ZDB-GENE-060503-918]</t>
  </si>
  <si>
    <t>arhgap32a</t>
  </si>
  <si>
    <t>ENSDARG00000075334</t>
  </si>
  <si>
    <t>hematopoietic death receptor [Source:ZFIN;Acc:ZDB-GENE-030826-5]</t>
  </si>
  <si>
    <t>hdr</t>
  </si>
  <si>
    <t>ENSDARG00000004392</t>
  </si>
  <si>
    <t>protein interacting with cyclin A1 [Source:ZFIN;Acc:ZDB-GENE-110418-1]</t>
  </si>
  <si>
    <t>proca1</t>
  </si>
  <si>
    <t>ENSDARG00000069823</t>
  </si>
  <si>
    <t>protein tyrosine phosphatase, receptor-type, Z polypeptide 1a [Source:ZFIN;Acc:ZDB-GENE-090406-1]</t>
  </si>
  <si>
    <t>ptprz1a</t>
  </si>
  <si>
    <t>ENSDARG00000051814</t>
  </si>
  <si>
    <t>adhesion G protein-coupled receptor G2 [Source:HGNC Symbol;Acc:HGNC:4516]</t>
  </si>
  <si>
    <t>ADGRG2</t>
  </si>
  <si>
    <t>ENSDARG00000088137</t>
  </si>
  <si>
    <t>ADGRG2.1</t>
  </si>
  <si>
    <t>si:dkeyp-86h10.3 [Source:ZFIN;Acc:ZDB-GENE-100922-65]</t>
  </si>
  <si>
    <t>si:dkeyp-86h10.3</t>
  </si>
  <si>
    <t>ENSDARG00000095615</t>
  </si>
  <si>
    <t>apoptosis-inducing factor, mitochondrion-associated, 4 [Source:ZFIN;Acc:ZDB-GENE-070112-2282]</t>
  </si>
  <si>
    <t>aifm4</t>
  </si>
  <si>
    <t>ENSDARG00000061634</t>
  </si>
  <si>
    <t>zgc:153760 [Source:ZFIN;Acc:ZDB-GENE-060929-528]</t>
  </si>
  <si>
    <t>CA4</t>
  </si>
  <si>
    <t>ENSDARG00000074666</t>
  </si>
  <si>
    <t>hairy and enhancer of split-related 15, tandem duplicate 2 [Source:ZFIN;Acc:ZDB-GENE-070627-1]</t>
  </si>
  <si>
    <t>her15.2</t>
  </si>
  <si>
    <t>ENSDARG00000054560</t>
  </si>
  <si>
    <t>hairy and enhancer of split-related 15, tandem duplicate 1 [Source:ZFIN;Acc:ZDB-GENE-030707-2]</t>
  </si>
  <si>
    <t>her15.1</t>
  </si>
  <si>
    <t>ENSDARG00000054562</t>
  </si>
  <si>
    <t>protocadherin 19 [Source:ZFIN;Acc:ZDB-GENE-030131-4218]</t>
  </si>
  <si>
    <t>pcdh19</t>
  </si>
  <si>
    <t>ENSDARG00000034344</t>
  </si>
  <si>
    <t>cerebellin 18 [Source:ZFIN;Acc:ZDB-GENE-111109-3]</t>
  </si>
  <si>
    <t>cbln18</t>
  </si>
  <si>
    <t>ENSDARG00000090969</t>
  </si>
  <si>
    <t>insulin-like growth factor binding protein 5a [Source:ZFIN;Acc:ZDB-GENE-070620-8]</t>
  </si>
  <si>
    <t>igfbp5a</t>
  </si>
  <si>
    <t>ENSDARG00000039264</t>
  </si>
  <si>
    <t>dickkopf WNT signaling pathway inhibitor 2 [Source:ZFIN;Acc:ZDB-GENE-080204-14]</t>
  </si>
  <si>
    <t>dkk2</t>
  </si>
  <si>
    <t>ENSDARG00000076420</t>
  </si>
  <si>
    <t>phosphatidic acid phosphatase type 2D [Source:ZFIN;Acc:ZDB-GENE-061201-42]</t>
  </si>
  <si>
    <t>ppap2d</t>
  </si>
  <si>
    <t>ENSDARG00000069940</t>
  </si>
  <si>
    <t>retinol dehydrogenase 10a [Source:ZFIN;Acc:ZDB-GENE-070112-2242]</t>
  </si>
  <si>
    <t>rdh10a</t>
  </si>
  <si>
    <t>ENSDARG00000058730</t>
  </si>
  <si>
    <t>tubulin, alpha 8 like 3 [Source:ZFIN;Acc:ZDB-GENE-040801-77]</t>
  </si>
  <si>
    <t>tuba8l3</t>
  </si>
  <si>
    <t>ENSDARG00000070155</t>
  </si>
  <si>
    <t>GATA binding protein 2a [Source:ZFIN;Acc:ZDB-GENE-980526-260]</t>
  </si>
  <si>
    <t>gata2a</t>
  </si>
  <si>
    <t>ENSDARG00000059327</t>
  </si>
  <si>
    <t>zgc:92630 [Source:ZFIN;Acc:ZDB-GENE-040718-449]</t>
  </si>
  <si>
    <t>zgc:92630</t>
  </si>
  <si>
    <t>ENSDARG00000004141</t>
  </si>
  <si>
    <t>ectonucleoside triphosphate diphosphohydrolase 1 [Source:ZFIN;Acc:ZDB-GENE-040801-58]</t>
  </si>
  <si>
    <t>entpd1</t>
  </si>
  <si>
    <t>ENSDARG00000045066</t>
  </si>
  <si>
    <t>cellular retinoic acid binding protein 2, a [Source:ZFIN;Acc:ZDB-GENE-020320-4]</t>
  </si>
  <si>
    <t>crabp2a</t>
  </si>
  <si>
    <t>ENSDARG00000073978</t>
  </si>
  <si>
    <t>apelin receptor a [Source:ZFIN;Acc:ZDB-GENE-060929-512]</t>
  </si>
  <si>
    <t>aplnra</t>
  </si>
  <si>
    <t>ENSDARG00000002172</t>
  </si>
  <si>
    <t>chemokine (C-X-C motif) ligand 20 [Source:ZFIN;Acc:ZDB-GENE-111004-2]</t>
  </si>
  <si>
    <t>cxcl20</t>
  </si>
  <si>
    <t>ENSDARG00000075163</t>
  </si>
  <si>
    <t>heparin-binding EGF-like growth factor b [Source:ZFIN;Acc:ZDB-GENE-070820-6]</t>
  </si>
  <si>
    <t>hbegfb</t>
  </si>
  <si>
    <t>ENSDARG00000031246</t>
  </si>
  <si>
    <t>zgc:92242 [Source:ZFIN;Acc:ZDB-GENE-040718-371]</t>
  </si>
  <si>
    <t>zgc:92242</t>
  </si>
  <si>
    <t>ENSDARG00000029443</t>
  </si>
  <si>
    <t>kit ligand a [Source:ZFIN;Acc:ZDB-GENE-070424-1]</t>
  </si>
  <si>
    <t>kitlga</t>
  </si>
  <si>
    <t>ENSDARG00000070917</t>
  </si>
  <si>
    <t>si:ch73-380n15.2 [Source:ZFIN;Acc:ZDB-GENE-090313-161]</t>
  </si>
  <si>
    <t>si:ch73-380n15.2</t>
  </si>
  <si>
    <t>ENSDARG00000087224</t>
  </si>
  <si>
    <t>ATP-binding cassette, sub-family G (WHITE), member 4b [Source:ZFIN;Acc:ZDB-GENE-080215-10]</t>
  </si>
  <si>
    <t>abcg4b</t>
  </si>
  <si>
    <t>ENSDARG00000078068</t>
  </si>
  <si>
    <t>paralemmin 1a [Source:ZFIN;Acc:ZDB-GENE-050417-409]</t>
  </si>
  <si>
    <t>palm1a</t>
  </si>
  <si>
    <t>ENSDARG00000026882</t>
  </si>
  <si>
    <t>si:ch73-199e17.1 [Source:ZFIN;Acc:ZDB-GENE-100921-8]</t>
  </si>
  <si>
    <t>si:ch73-199e17.1</t>
  </si>
  <si>
    <t>ENSDARG00000094466</t>
  </si>
  <si>
    <t>heme-binding protein soul5 [Source:ZFIN;Acc:ZDB-GENE-110718-2]</t>
  </si>
  <si>
    <t>soul5</t>
  </si>
  <si>
    <t>ENSDARG00000075015</t>
  </si>
  <si>
    <t>ISL LIM homeobox 1 [Source:ZFIN;Acc:ZDB-GENE-980526-112]</t>
  </si>
  <si>
    <t>isl1</t>
  </si>
  <si>
    <t>ENSDARG00000004023</t>
  </si>
  <si>
    <t>pancreatic progenitor cell differentiation and proliferation factor b [Source:ZFIN;Acc:ZDB-GENE-030131-8247]</t>
  </si>
  <si>
    <t>ppdpfb</t>
  </si>
  <si>
    <t>ENSDARG00000031317</t>
  </si>
  <si>
    <t>heterochromatin protein 1, binding protein 3 [Source:ZFIN;Acc:ZDB-GENE-060810-79]</t>
  </si>
  <si>
    <t>hp1bp3</t>
  </si>
  <si>
    <t>ENSDARG00000044669</t>
  </si>
  <si>
    <t>ribosomal protein S17 [Source:ZFIN;Acc:ZDB-GENE-040426-1852]</t>
  </si>
  <si>
    <t>rps17</t>
  </si>
  <si>
    <t>ENSDARG00000104011</t>
  </si>
  <si>
    <t>membrane-spanning 4-domains, subfamily A, member 17A.10 [Source:ZFIN;Acc:ZDB-GENE-080829-3]</t>
  </si>
  <si>
    <t>ms4a17a.10</t>
  </si>
  <si>
    <t>ENSDARG00000095695</t>
  </si>
  <si>
    <t>septin 15 [Source:ZFIN;Acc:ZDB-GENE-061103-265]</t>
  </si>
  <si>
    <t>sept15</t>
  </si>
  <si>
    <t>ENSDARG00000102889</t>
  </si>
  <si>
    <t>phosphatidylinositol-4-phosphate 5-kinase, type I, beta b [Source:ZFIN;Acc:ZDB-GENE-040912-141]</t>
  </si>
  <si>
    <t>pip5k1bb</t>
  </si>
  <si>
    <t>ENSDARG00000006508</t>
  </si>
  <si>
    <t>deafness, autosomal dominant 5 a [Source:ZFIN;Acc:ZDB-GENE-120215-186]</t>
  </si>
  <si>
    <t>dfna5a</t>
  </si>
  <si>
    <t>ENSDARG00000086762</t>
  </si>
  <si>
    <t>FK506 binding protein 1Aa [Source:ZFIN;Acc:ZDB-GENE-030131-7275]</t>
  </si>
  <si>
    <t>fkbp1aa</t>
  </si>
  <si>
    <t>ENSDARG00000022684</t>
  </si>
  <si>
    <t>glycerophosphodiester phosphodiesterase domain containing 2 [Source:ZFIN;Acc:ZDB-GENE-081107-62]</t>
  </si>
  <si>
    <t>gdpd2</t>
  </si>
  <si>
    <t>ENSDARG00000073870</t>
  </si>
  <si>
    <t>membrane-spanning 4-domains, subfamily A, member 17A.1 [Source:ZFIN;Acc:ZDB-GENE-050417-307]</t>
  </si>
  <si>
    <t>ms4a17a.1</t>
  </si>
  <si>
    <t>ENSDARG00000043798</t>
  </si>
  <si>
    <t>tyrosine 3-monooxygenase/tryptophan 5-monooxygenase activation protein, zeta polypeptide [Source:ZFIN;Acc:ZDB-GENE-030131-8554]</t>
  </si>
  <si>
    <t>ywhaz</t>
  </si>
  <si>
    <t>ENSDARG00000032575</t>
  </si>
  <si>
    <t>H2A histone family, member Vb [Source:ZFIN;Acc:ZDB-GENE-050506-24]</t>
  </si>
  <si>
    <t>h2afvb</t>
  </si>
  <si>
    <t>ENSDARG00000099214</t>
  </si>
  <si>
    <t>serine/arginine-rich splicing factor 2a [Source:ZFIN;Acc:ZDB-GENE-040426-2706]</t>
  </si>
  <si>
    <t>srsf2a</t>
  </si>
  <si>
    <t>ENSDARG00000057484</t>
  </si>
  <si>
    <t>PYD and CARD domain containing [Source:ZFIN;Acc:ZDB-GENE-000511-2]</t>
  </si>
  <si>
    <t>pycard</t>
  </si>
  <si>
    <t>ENSDARG00000040076</t>
  </si>
  <si>
    <t>ADP-ribosylation factor-like 4Cb [Source:ZFIN;Acc:ZDB-GENE-040426-2382]</t>
  </si>
  <si>
    <t>arl4cb</t>
  </si>
  <si>
    <t>ENSDARG00000032708</t>
  </si>
  <si>
    <t>minichromosome maintenance complex component 3 [Source:ZFIN;Acc:ZDB-GENE-020419-4]</t>
  </si>
  <si>
    <t>mcm3</t>
  </si>
  <si>
    <t>ENSDARG00000024204</t>
  </si>
  <si>
    <t>epithelial splicing regulatory protein 1 [Source:ZFIN;Acc:ZDB-GENE-070112-1732]</t>
  </si>
  <si>
    <t>esrp1</t>
  </si>
  <si>
    <t>ENSDARG00000011245</t>
  </si>
  <si>
    <t>gastrin-releasing peptide [Source:ZFIN;Acc:ZDB-GENE-060526-117]</t>
  </si>
  <si>
    <t>grp</t>
  </si>
  <si>
    <t>ENSDARG00000043074</t>
  </si>
  <si>
    <t>ADP-ribosylation factor-like 4aa [Source:ZFIN;Acc:ZDB-GENE-040426-1878]</t>
  </si>
  <si>
    <t>arl4aa</t>
  </si>
  <si>
    <t>ENSDARG00000099918</t>
  </si>
  <si>
    <t>furry homolog a (Drosophila) [Source:ZFIN;Acc:ZDB-GENE-060510-4]</t>
  </si>
  <si>
    <t>frya</t>
  </si>
  <si>
    <t>ENSDARG00000013921</t>
  </si>
  <si>
    <t>reticulon 1a [Source:ZFIN;Acc:ZDB-GENE-030131-2426]</t>
  </si>
  <si>
    <t>rtn1a</t>
  </si>
  <si>
    <t>ENSDARG00000006497</t>
  </si>
  <si>
    <t>interleukin 13 receptor, alpha 2 [Source:ZFIN;Acc:ZDB-GENE-030521-10]</t>
  </si>
  <si>
    <t>il13ra2</t>
  </si>
  <si>
    <t>ENSDARG00000039436</t>
  </si>
  <si>
    <t>GDP-mannose 4,6-dehydratase [Source:ZFIN;Acc:ZDB-GENE-050419-45]</t>
  </si>
  <si>
    <t>gmds</t>
  </si>
  <si>
    <t>ENSDARG00000026629</t>
  </si>
  <si>
    <t>solute carrier family 35, member B1 [Source:ZFIN;Acc:ZDB-GENE-040912-148]</t>
  </si>
  <si>
    <t>slc35b1</t>
  </si>
  <si>
    <t>ENSDARG00000038213</t>
  </si>
  <si>
    <t>minichromosome maintenance complex component 2 [Source:ZFIN;Acc:ZDB-GENE-020419-24]</t>
  </si>
  <si>
    <t>mcm2</t>
  </si>
  <si>
    <t>ENSDARG00000102798</t>
  </si>
  <si>
    <t>serine/arginine-rich splicing factor 3b [Source:ZFIN;Acc:ZDB-GENE-071005-2]</t>
  </si>
  <si>
    <t>srsf3b</t>
  </si>
  <si>
    <t>ENSDARG00000059360</t>
  </si>
  <si>
    <t>calmodulin 3a (phosphorylase kinase, delta) [Source:ZFIN;Acc:ZDB-GENE-030131-5590]</t>
  </si>
  <si>
    <t>calm3a</t>
  </si>
  <si>
    <t>ENSDARG00000100825</t>
  </si>
  <si>
    <t>neurofascin homolog (chicken) a [Source:ZFIN;Acc:ZDB-GENE-080229-6]</t>
  </si>
  <si>
    <t>nfasca</t>
  </si>
  <si>
    <t>ENSDARG00000061099</t>
  </si>
  <si>
    <t>zinc finger, DHHC-type containing 16b [Source:ZFIN;Acc:ZDB-GENE-040426-1301]</t>
  </si>
  <si>
    <t>zdhhc16b</t>
  </si>
  <si>
    <t>ENSDARG00000015989</t>
  </si>
  <si>
    <t>hexose-binding lectin 2 [Source:ZFIN;Acc:ZDB-GENE-070912-286]</t>
  </si>
  <si>
    <t>hbl2</t>
  </si>
  <si>
    <t>ENSDARG00000094681</t>
  </si>
  <si>
    <t>arrestin domain containing 2 [Source:ZFIN;Acc:ZDB-GENE-030131-7146]</t>
  </si>
  <si>
    <t>arrdc2</t>
  </si>
  <si>
    <t>ENSDARG00000020761</t>
  </si>
  <si>
    <t>nuclear receptor subfamily 4, group A, member 3 [Source:ZFIN;Acc:ZDB-GENE-070824-4]</t>
  </si>
  <si>
    <t>nr4a3</t>
  </si>
  <si>
    <t>ENSDARG00000055854</t>
  </si>
  <si>
    <t>high mobility group box 1a [Source:ZFIN;Acc:ZDB-GENE-030131-341]</t>
  </si>
  <si>
    <t>hmgb1a</t>
  </si>
  <si>
    <t>ENSDARG00000099175</t>
  </si>
  <si>
    <t>EYA transcriptional coactivator and phosphatase 2 [Source:ZFIN;Acc:ZDB-GENE-040912-24]</t>
  </si>
  <si>
    <t>eya2</t>
  </si>
  <si>
    <t>ENSDARG00000018984</t>
  </si>
  <si>
    <t>alkaline phosphatase, liver/bone/kidney [Source:ZFIN;Acc:ZDB-GENE-040420-1]</t>
  </si>
  <si>
    <t>alpl</t>
  </si>
  <si>
    <t>ENSDARG00000015546</t>
  </si>
  <si>
    <t>calmodulin 1a [Source:ZFIN;Acc:ZDB-GENE-030131-8308]</t>
  </si>
  <si>
    <t>calm1a</t>
  </si>
  <si>
    <t>ENSDARG00000021811</t>
  </si>
  <si>
    <t>zgc:195633 [Source:ZFIN;Acc:ZDB-GENE-081205-1]</t>
  </si>
  <si>
    <t>HIST2H2AB</t>
  </si>
  <si>
    <t>ENSDARG00000088686</t>
  </si>
  <si>
    <t>si:dkey-248g15.3 [Source:ZFIN;Acc:ZDB-GENE-131127-95]</t>
  </si>
  <si>
    <t>si:dkey-248g15.3</t>
  </si>
  <si>
    <t>ENSDARG00000097959</t>
  </si>
  <si>
    <t>si:ch211-152c2.3 [Source:ZFIN;Acc:ZDB-GENE-030131-9914]</t>
  </si>
  <si>
    <t>si:ch211-152c2.3</t>
  </si>
  <si>
    <t>ENSDARG00000045898</t>
  </si>
  <si>
    <t>tubulin, alpha 8 like [Source:ZFIN;Acc:ZDB-GENE-030131-9167]</t>
  </si>
  <si>
    <t>tuba8l</t>
  </si>
  <si>
    <t>ENSDARG00000042708</t>
  </si>
  <si>
    <t>mcf.2 cell line derived transforming sequence-like b [Source:ZFIN;Acc:ZDB-GENE-081104-416]</t>
  </si>
  <si>
    <t>mcf2lb</t>
  </si>
  <si>
    <t>ENSDARG00000076480</t>
  </si>
  <si>
    <t>creatine kinase, muscle a [Source:ZFIN;Acc:ZDB-GENE-980526-109]</t>
  </si>
  <si>
    <t>ckma</t>
  </si>
  <si>
    <t>ENSDARG00000035327</t>
  </si>
  <si>
    <t>H6 family homeobox 2 [Source:ZFIN;Acc:ZDB-GENE-080506-2]</t>
  </si>
  <si>
    <t>hmx2</t>
  </si>
  <si>
    <t>ENSDARG00000070954</t>
  </si>
  <si>
    <t>zgc:193505 [Source:ZFIN;Acc:ZDB-GENE-030131-7103]</t>
  </si>
  <si>
    <t>zgc:193505</t>
  </si>
  <si>
    <t>ENSDARG00000093584</t>
  </si>
  <si>
    <t>cytidine monophospho-N-acetylneuraminic acid hydroxylase [Source:ZFIN;Acc:ZDB-GENE-040704-33]</t>
  </si>
  <si>
    <t>cmah</t>
  </si>
  <si>
    <t>ENSDARG00000057714</t>
  </si>
  <si>
    <t>myosin, light chain 9b, regulatory [Source:ZFIN;Acc:ZDB-GENE-040426-2296]</t>
  </si>
  <si>
    <t>myl9b</t>
  </si>
  <si>
    <t>ENSDARG00000008030</t>
  </si>
  <si>
    <t>si:ch1073-366l7.1 [Source:ZFIN;Acc:ZDB-GENE-141219-7]</t>
  </si>
  <si>
    <t>si:ch1073-366l7.1</t>
  </si>
  <si>
    <t>ENSDARG00000101824</t>
  </si>
  <si>
    <t>high mobility group nucleosomal binding domain 3 [Source:ZFIN;Acc:ZDB-GENE-041114-180]</t>
  </si>
  <si>
    <t>hmgn3</t>
  </si>
  <si>
    <t>ENSDARG00000036754</t>
  </si>
  <si>
    <t>zgc:153675 [Source:ZFIN;Acc:ZDB-GENE-061013-567]</t>
  </si>
  <si>
    <t>zgc:153675</t>
  </si>
  <si>
    <t>ENSDARG00000071555</t>
  </si>
  <si>
    <t>emerin (Emery-Dreifuss muscular dystrophy) [Source:ZFIN;Acc:ZDB-GENE-070501-2]</t>
  </si>
  <si>
    <t>emd</t>
  </si>
  <si>
    <t>ENSDARG00000095774</t>
  </si>
  <si>
    <t>ATP citrate lyase a [Source:ZFIN;Acc:ZDB-GENE-031113-1]</t>
  </si>
  <si>
    <t>aclya</t>
  </si>
  <si>
    <t>ENSDARG00000099079</t>
  </si>
  <si>
    <t>myosin, heavy chain 9a, non-muscle [Source:ZFIN;Acc:ZDB-GENE-030131-5870]</t>
  </si>
  <si>
    <t>myh9a</t>
  </si>
  <si>
    <t>ENSDARG00000063295</t>
  </si>
  <si>
    <t>sulfotransferase family 1, cytosolic sulfotransferase 1 [Source:ZFIN;Acc:ZDB-GENE-030131-2144]</t>
  </si>
  <si>
    <t>sult1st1</t>
  </si>
  <si>
    <t>ENSDARG00000028275</t>
  </si>
  <si>
    <t>calreticulin 3b [Source:ZFIN;Acc:ZDB-GENE-030131-9907]</t>
  </si>
  <si>
    <t>calr3b</t>
  </si>
  <si>
    <t>ENSDARG00000102808</t>
  </si>
  <si>
    <t>2'-deoxynucleoside 5'-phosphate N-hydrolase 1 [Source:ZFIN;Acc:ZDB-GENE-081107-5]</t>
  </si>
  <si>
    <t>dnph1</t>
  </si>
  <si>
    <t>ENSDARG00000075730</t>
  </si>
  <si>
    <t>CABZ01041812.1</t>
  </si>
  <si>
    <t>ENSDARG00000061481</t>
  </si>
  <si>
    <t>mesencephalic astrocyte-derived neurotrophic factor [Source:ZFIN;Acc:ZDB-GENE-060929-640]</t>
  </si>
  <si>
    <t>manf</t>
  </si>
  <si>
    <t>ENSDARG00000063177</t>
  </si>
  <si>
    <t>guanine nucleotide binding protein (G protein), alpha inhibiting activity polypeptide 2a [Source:ZFIN;Acc:ZDB-GENE-030131-8365]</t>
  </si>
  <si>
    <t>gnai2a</t>
  </si>
  <si>
    <t>ENSDARG00000018174</t>
  </si>
  <si>
    <t>transmembrane p24 trafficking protein 2 [Source:ZFIN;Acc:ZDB-GENE-030131-269]</t>
  </si>
  <si>
    <t>tmed2</t>
  </si>
  <si>
    <t>ENSDARG00000026908</t>
  </si>
  <si>
    <t>profilin 1 [Source:ZFIN;Acc:ZDB-GENE-031002-33]</t>
  </si>
  <si>
    <t>pfn1</t>
  </si>
  <si>
    <t>ENSDARG00000088091</t>
  </si>
  <si>
    <t>si:ch211-266g18.6 [Source:ZFIN;Acc:ZDB-GENE-131121-599]</t>
  </si>
  <si>
    <t>si:ch211-266g18.6</t>
  </si>
  <si>
    <t>ENSDARG00000003381</t>
  </si>
  <si>
    <t>ATPase, Na+/K+ transporting, beta 1a polypeptide [Source:ZFIN;Acc:ZDB-GENE-001127-3]</t>
  </si>
  <si>
    <t>atp1b1a</t>
  </si>
  <si>
    <t>ENSDARG00000013144</t>
  </si>
  <si>
    <t>microsomal glutathione S-transferase 1.1 [Source:ZFIN;Acc:ZDB-GENE-041010-30]</t>
  </si>
  <si>
    <t>mgst1.1</t>
  </si>
  <si>
    <t>ENSDARG00000032618</t>
  </si>
  <si>
    <t>zgc:158409 [Source:ZFIN;Acc:ZDB-GENE-061215-23]</t>
  </si>
  <si>
    <t>zgc:158409</t>
  </si>
  <si>
    <t>ENSDARG00000062326</t>
  </si>
  <si>
    <t>calcium/calmodulin-dependent protein kinase (CaM kinase) II delta 1 [Source:ZFIN;Acc:ZDB-GENE-040801-121]</t>
  </si>
  <si>
    <t>camk2d1</t>
  </si>
  <si>
    <t>ENSDARG00000043010</t>
  </si>
  <si>
    <t>zgc:158258 [Source:ZFIN;Acc:ZDB-GENE-070112-2272]</t>
  </si>
  <si>
    <t>zgc:158258</t>
  </si>
  <si>
    <t>ENSDARG00000070229</t>
  </si>
  <si>
    <t>phospholipid scramblase 3b [Source:ZFIN;Acc:ZDB-GENE-040426-2517]</t>
  </si>
  <si>
    <t>plscr3b</t>
  </si>
  <si>
    <t>ENSDARG00000069432</t>
  </si>
  <si>
    <t>si:ch73-1a9.3 [Source:ZFIN;Acc:ZDB-GENE-141216-84]</t>
  </si>
  <si>
    <t>si:ch73-1a9.3</t>
  </si>
  <si>
    <t>ENSDARG00000103919</t>
  </si>
  <si>
    <t>si:ch73-281n10.2 [Source:ZFIN;Acc:ZDB-GENE-131120-172]</t>
  </si>
  <si>
    <t>si:ch73-281n10.2</t>
  </si>
  <si>
    <t>ENSDARG00000097102</t>
  </si>
  <si>
    <t>dual-specificity tyrosine-(Y)-phosphorylation regulated kinase 2 [Source:ZFIN;Acc:ZDB-GENE-030131-2804]</t>
  </si>
  <si>
    <t>dyrk2</t>
  </si>
  <si>
    <t>ENSDARG00000094646</t>
  </si>
  <si>
    <t>chaperonin containing TCP1, subunit 2 (beta) [Source:HGNC Symbol;Acc:HGNC:1615]</t>
  </si>
  <si>
    <t>CCT2</t>
  </si>
  <si>
    <t>ENSDARG00000087206</t>
  </si>
  <si>
    <t>CCT2.1</t>
  </si>
  <si>
    <t>zinc finger and BTB domain containing 18 [Source:ZFIN;Acc:ZDB-GENE-050419-73]</t>
  </si>
  <si>
    <t>zbtb18</t>
  </si>
  <si>
    <t>ENSDARG00000028228</t>
  </si>
  <si>
    <t>protein arginine methyltransferase 1 [Source:ZFIN;Acc:ZDB-GENE-030131-693]</t>
  </si>
  <si>
    <t>prmt1</t>
  </si>
  <si>
    <t>ENSDARG00000010246</t>
  </si>
  <si>
    <t>sushi domain containing 6 [Source:ZFIN;Acc:ZDB-GENE-030131-8832]</t>
  </si>
  <si>
    <t>susd6</t>
  </si>
  <si>
    <t>ENSDARG00000030116</t>
  </si>
  <si>
    <t>coactosin-like F-actin binding protein 1 [Source:ZFIN;Acc:ZDB-GENE-030131-8325]</t>
  </si>
  <si>
    <t>cotl1</t>
  </si>
  <si>
    <t>ENSDARG00000026829</t>
  </si>
  <si>
    <t>glutathione S-transferase pi 1 [Source:ZFIN;Acc:ZDB-GENE-020806-4]</t>
  </si>
  <si>
    <t>gstp1</t>
  </si>
  <si>
    <t>ENSDARG00000104068</t>
  </si>
  <si>
    <t>farnesyltransferase, CAAX box, beta [Source:ZFIN;Acc:ZDB-GENE-030131-2220]</t>
  </si>
  <si>
    <t>fntb</t>
  </si>
  <si>
    <t>ENSDARG00000027916</t>
  </si>
  <si>
    <t>COX17 cytochrome c oxidase copper chaperone [Source:ZFIN;Acc:ZDB-GENE-040912-91]</t>
  </si>
  <si>
    <t>cox17</t>
  </si>
  <si>
    <t>ENSDARG00000069920</t>
  </si>
  <si>
    <t>TGFB-induced factor homeobox 1 [Source:ZFIN;Acc:ZDB-GENE-030131-475]</t>
  </si>
  <si>
    <t>tgif1</t>
  </si>
  <si>
    <t>ENSDARG00000059337</t>
  </si>
  <si>
    <t>tribbles pseudokinase 3 [Source:ZFIN;Acc:ZDB-GENE-040426-2609]</t>
  </si>
  <si>
    <t>trib3</t>
  </si>
  <si>
    <t>ENSDARG00000016200</t>
  </si>
  <si>
    <t>si:ch211-206k20.5 [Source:ZFIN;Acc:ZDB-GENE-030131-2912]</t>
  </si>
  <si>
    <t>si:ch211-206k20.5</t>
  </si>
  <si>
    <t>ENSDARG00000077614</t>
  </si>
  <si>
    <t>chaperonin containing TCP1, subunit 3 (gamma) [Source:ZFIN;Acc:ZDB-GENE-020419-5]</t>
  </si>
  <si>
    <t>cct3</t>
  </si>
  <si>
    <t>ENSDARG00000016173</t>
  </si>
  <si>
    <t>v-myb avian myeloblastosis viral oncogene homolog-like 1 [Source:ZFIN;Acc:ZDB-GENE-041111-281]</t>
  </si>
  <si>
    <t>mybl1</t>
  </si>
  <si>
    <t>ENSDARG00000030999</t>
  </si>
  <si>
    <t>si:ch211-236g6.1 [Source:ZFIN;Acc:ZDB-GENE-050208-448]</t>
  </si>
  <si>
    <t>si:ch211-236g6.1</t>
  </si>
  <si>
    <t>ENSDARG00000071590</t>
  </si>
  <si>
    <t>splA/ryanodine receptor domain and SOCS box containing 4a [Source:ZFIN;Acc:ZDB-GENE-070911-3]</t>
  </si>
  <si>
    <t>spsb4a</t>
  </si>
  <si>
    <t>ENSDARG00000016084</t>
  </si>
  <si>
    <t>hes family bHLH transcription factor 6 [Source:ZFIN;Acc:ZDB-GENE-030828-5]</t>
  </si>
  <si>
    <t>hes6</t>
  </si>
  <si>
    <t>ENSDARG00000019335</t>
  </si>
  <si>
    <t>si:dkey-42i9.4 [Source:ZFIN;Acc:ZDB-GENE-030131-8398]</t>
  </si>
  <si>
    <t>si:dkey-42i9.4</t>
  </si>
  <si>
    <t>ENSDARG00000008049</t>
  </si>
  <si>
    <t>plexin A4 [Source:ZFIN;Acc:ZDB-GENE-030131-4663]</t>
  </si>
  <si>
    <t>plxna4</t>
  </si>
  <si>
    <t>ENSDARG00000019328</t>
  </si>
  <si>
    <t>sprouty homolog 4 (Drosophila) [Source:ZFIN;Acc:ZDB-GENE-010803-2]</t>
  </si>
  <si>
    <t>spry4</t>
  </si>
  <si>
    <t>ENSDARG00000068732</t>
  </si>
  <si>
    <t>si:dkey-106c17.3 [Source:ZFIN;Acc:ZDB-GENE-060503-706]</t>
  </si>
  <si>
    <t>si:dkey-106c17.3</t>
  </si>
  <si>
    <t>ENSDARG00000059747</t>
  </si>
  <si>
    <t>SRY (sex determining region Y)-box 11b [Source:ZFIN;Acc:ZDB-GENE-980526-466]</t>
  </si>
  <si>
    <t>sox11b</t>
  </si>
  <si>
    <t>ENSDARG00000095743</t>
  </si>
  <si>
    <t>forkhead box N4 [Source:ZFIN;Acc:ZDB-GENE-990415-277]</t>
  </si>
  <si>
    <t>foxn4</t>
  </si>
  <si>
    <t>ENSDARG00000010591</t>
  </si>
  <si>
    <t>spalt-like transcription factor 1a [Source:ZFIN;Acc:ZDB-GENE-020228-2]</t>
  </si>
  <si>
    <t>sall1a</t>
  </si>
  <si>
    <t>ENSDARG00000074319</t>
  </si>
  <si>
    <t>deltaC [Source:ZFIN;Acc:ZDB-GENE-000125-4]</t>
  </si>
  <si>
    <t>dlc</t>
  </si>
  <si>
    <t>ENSDARG00000002336</t>
  </si>
  <si>
    <t>high mobility group box 3a [Source:ZFIN;Acc:ZDB-GENE-050428-1]</t>
  </si>
  <si>
    <t>hmgb3a</t>
  </si>
  <si>
    <t>ENSDARG00000056725</t>
  </si>
  <si>
    <t>Gse1 coiled-coil protein [Source:ZFIN;Acc:ZDB-GENE-030131-9569]</t>
  </si>
  <si>
    <t>gse1</t>
  </si>
  <si>
    <t>ENSDARG00000062020</t>
  </si>
  <si>
    <t>heat shock protein 90, alpha (cytosolic), class B member 1 [Source:ZFIN;Acc:ZDB-GENE-990415-95]</t>
  </si>
  <si>
    <t>hsp90ab1</t>
  </si>
  <si>
    <t>ENSDARG00000029150</t>
  </si>
  <si>
    <t>hes family bHLH transcription factor 2, tandem duplicate 2 [Source:ZFIN;Acc:ZDB-GENE-060825-55]</t>
  </si>
  <si>
    <t>hes2.2</t>
  </si>
  <si>
    <t>ENSDARG00000068168</t>
  </si>
  <si>
    <t>Kruppel-like factor 18 [Source:ZFIN;Acc:ZDB-GENE-060312-34]</t>
  </si>
  <si>
    <t>klf18</t>
  </si>
  <si>
    <t>ENSDARG00000018757</t>
  </si>
  <si>
    <t>zgc:158291 [Source:ZFIN;Acc:ZDB-GENE-061215-70]</t>
  </si>
  <si>
    <t>zgc:158291</t>
  </si>
  <si>
    <t>ENSDARG00000044375</t>
  </si>
  <si>
    <t>secretogranin III [Source:ZFIN;Acc:ZDB-GENE-040426-1725]</t>
  </si>
  <si>
    <t>scg3</t>
  </si>
  <si>
    <t>ENSDARG00000086288</t>
  </si>
  <si>
    <t>C-terminal binding protein 2a [Source:ZFIN;Acc:ZDB-GENE-010130-2]</t>
  </si>
  <si>
    <t>ctbp2a</t>
  </si>
  <si>
    <t>ENSDARG00000044062</t>
  </si>
  <si>
    <t>growth arrest and DNA-damage-inducible, gamma a [Source:ZFIN;Acc:ZDB-GENE-040426-1882]</t>
  </si>
  <si>
    <t>gadd45ga</t>
  </si>
  <si>
    <t>ENSDARG00000019417</t>
  </si>
  <si>
    <t>tumor protein p53 inducible nuclear protein 1 [Source:ZFIN;Acc:ZDB-GENE-031018-3]</t>
  </si>
  <si>
    <t>tp53inp1</t>
  </si>
  <si>
    <t>ENSDARG00000028017</t>
  </si>
  <si>
    <t>serine/arginine repetitive matrix 4 [Source:ZFIN;Acc:ZDB-GENE-050208-34]</t>
  </si>
  <si>
    <t>srrm4</t>
  </si>
  <si>
    <t>ENSDARG00000086327</t>
  </si>
  <si>
    <t>insulinoma-associated 1a [Source:ZFIN;Acc:ZDB-GENE-040426-1810]</t>
  </si>
  <si>
    <t>insm1a</t>
  </si>
  <si>
    <t>ENSDARG00000091756</t>
  </si>
  <si>
    <t>hairy-related 4, tandem duplicate 1 [Source:ZFIN;Acc:ZDB-GENE-980526-521]</t>
  </si>
  <si>
    <t>her4.1</t>
  </si>
  <si>
    <t>ENSDARG00000056732</t>
  </si>
  <si>
    <t>cyclin-dependent kinase inhibitor 1Ca [Source:ZFIN;Acc:ZDB-GENE-040123-1]</t>
  </si>
  <si>
    <t>cdkn1ca</t>
  </si>
  <si>
    <t>ENSDARG00000010878</t>
  </si>
  <si>
    <t>hairy-related 4, tandem duplicate 2 [Source:ZFIN;Acc:ZDB-GENE-060815-1]</t>
  </si>
  <si>
    <t>her4.2</t>
  </si>
  <si>
    <t>ENSDARG00000094426</t>
  </si>
  <si>
    <t>protocadherin 18b [Source:ZFIN;Acc:ZDB-GENE-080804-1]</t>
  </si>
  <si>
    <t>pcdh18b</t>
  </si>
  <si>
    <t>ENSDARG00000052494</t>
  </si>
  <si>
    <t>thymocyte selection-associated high mobility group box [Source:ZFIN;Acc:ZDB-GENE-070912-181]</t>
  </si>
  <si>
    <t>tox</t>
  </si>
  <si>
    <t>ENSDARG00000032317</t>
  </si>
  <si>
    <t>ENSDARG00000056729</t>
  </si>
  <si>
    <t>her4.2.1</t>
  </si>
  <si>
    <t>deltaB [Source:ZFIN;Acc:ZDB-GENE-980526-114]</t>
  </si>
  <si>
    <t>dlb</t>
  </si>
  <si>
    <t>ENSDARG00000004232</t>
  </si>
  <si>
    <t>atonal bHLH transcription factor 1a [Source:ZFIN;Acc:ZDB-GENE-990415-17]</t>
  </si>
  <si>
    <t>atoh1a</t>
  </si>
  <si>
    <t>ENSDARG00000055294</t>
  </si>
  <si>
    <t>si:dkey-201c1.2 [Source:ZFIN;Acc:ZDB-GENE-110408-61]</t>
  </si>
  <si>
    <t>SLC25A22</t>
  </si>
  <si>
    <t>ENSDARG00000020718</t>
  </si>
  <si>
    <t>SLC25A22.1</t>
  </si>
  <si>
    <t>esterase D/formylglutathione hydrolase [Source:ZFIN;Acc:ZDB-GENE-050417-328]</t>
  </si>
  <si>
    <t>esd</t>
  </si>
  <si>
    <t>ENSDARG00000019496</t>
  </si>
  <si>
    <t>si:ch73-22o12.1 [Source:ZFIN;Acc:ZDB-GENE-110411-27]</t>
  </si>
  <si>
    <t>si:ch73-22o12.1</t>
  </si>
  <si>
    <t>ENSDARG00000062831</t>
  </si>
  <si>
    <t>fibroblast growth factor 10a [Source:ZFIN;Acc:ZDB-GENE-030715-1]</t>
  </si>
  <si>
    <t>fgf10a</t>
  </si>
  <si>
    <t>ENSDARG00000030932</t>
  </si>
  <si>
    <t>salt-inducible kinase 1 [Source:ZFIN;Acc:ZDB-GENE-030131-9446]</t>
  </si>
  <si>
    <t>sik1</t>
  </si>
  <si>
    <t>ENSDARG00000058606</t>
  </si>
  <si>
    <t>CABZ01073850.1</t>
  </si>
  <si>
    <t>ENSDARG00000104559</t>
  </si>
  <si>
    <t>family with sequence similarity 214, member A [Source:ZFIN;Acc:ZDB-GENE-050419-204]</t>
  </si>
  <si>
    <t>fam214a</t>
  </si>
  <si>
    <t>ENSDARG00000040452</t>
  </si>
  <si>
    <t>ELOVL fatty acid elongase 7a [Source:ZFIN;Acc:ZDB-GENE-030131-6149]</t>
  </si>
  <si>
    <t>elovl7a</t>
  </si>
  <si>
    <t>ENSDARG00000069279</t>
  </si>
  <si>
    <t>zgc:153981 [Source:ZFIN;Acc:ZDB-GENE-061103-367]</t>
  </si>
  <si>
    <t>zgc:153981</t>
  </si>
  <si>
    <t>ENSDARG00000069529</t>
  </si>
  <si>
    <t>collagen type XVIII, alpha 1 [Source:ZFIN;Acc:ZDB-GENE-030516-3]</t>
  </si>
  <si>
    <t>col18a1</t>
  </si>
  <si>
    <t>ENSDARG00000036558</t>
  </si>
  <si>
    <t>coronin, actin binding protein, 1Ca [Source:ZFIN;Acc:ZDB-GENE-030114-6]</t>
  </si>
  <si>
    <t>coro1ca</t>
  </si>
  <si>
    <t>ENSDARG00000035598</t>
  </si>
  <si>
    <t>zgc:110340 [Source:ZFIN;Acc:ZDB-GENE-050320-36]</t>
  </si>
  <si>
    <t>zgc:110340</t>
  </si>
  <si>
    <t>ENSDARG00000079497</t>
  </si>
  <si>
    <t>F11 receptor, tandem duplicate 1 [Source:ZFIN;Acc:ZDB-GENE-030131-2416]</t>
  </si>
  <si>
    <t>f11r.1</t>
  </si>
  <si>
    <t>ENSDARG00000017320</t>
  </si>
  <si>
    <t>LIM domain and actin binding 1a [Source:ZFIN;Acc:ZDB-GENE-001120-1]</t>
  </si>
  <si>
    <t>lima1a</t>
  </si>
  <si>
    <t>ENSDARG00000101441</t>
  </si>
  <si>
    <t>FK506 binding protein 1b [Source:ZFIN;Acc:ZDB-GENE-040426-1785]</t>
  </si>
  <si>
    <t>fkbp1b</t>
  </si>
  <si>
    <t>ENSDARG00000052625</t>
  </si>
  <si>
    <t>calsyntenin 1 [Source:ZFIN;Acc:ZDB-GENE-040426-1064]</t>
  </si>
  <si>
    <t>clstn1</t>
  </si>
  <si>
    <t>ENSDARG00000031720</t>
  </si>
  <si>
    <t>influenza virus NS1A binding protein a [Source:ZFIN;Acc:ZDB-GENE-031222-2]</t>
  </si>
  <si>
    <t>ivns1abpa</t>
  </si>
  <si>
    <t>ENSDARG00000031100</t>
  </si>
  <si>
    <t>ferredoxin 1 [Source:ZFIN;Acc:ZDB-GENE-071015-2]</t>
  </si>
  <si>
    <t>fdx1</t>
  </si>
  <si>
    <t>ENSDARG00000056410</t>
  </si>
  <si>
    <t>growth arrest and DNA-damage-inducible, beta a [Source:ZFIN;Acc:ZDB-GENE-040426-1971]</t>
  </si>
  <si>
    <t>gadd45ba</t>
  </si>
  <si>
    <t>ENSDARG00000027744</t>
  </si>
  <si>
    <t>lethal giant larvae homolog 2 (Drosophila) [Source:ZFIN;Acc:ZDB-GENE-030131-9877]</t>
  </si>
  <si>
    <t>llgl2</t>
  </si>
  <si>
    <t>ENSDARG00000023920</t>
  </si>
  <si>
    <t>aminolevulinate, delta-, synthase 1 [Source:ZFIN;Acc:ZDB-GENE-001229-2]</t>
  </si>
  <si>
    <t>alas1</t>
  </si>
  <si>
    <t>ENSDARG00000021059</t>
  </si>
  <si>
    <t>autism susceptibility candidate 2a [Source:ZFIN;Acc:ZDB-GENE-030616-571]</t>
  </si>
  <si>
    <t>auts2a</t>
  </si>
  <si>
    <t>ENSDARG00000056427</t>
  </si>
  <si>
    <t>EF-hand domain family, member D1 [Source:ZFIN;Acc:ZDB-GENE-030131-7461]</t>
  </si>
  <si>
    <t>efhd1</t>
  </si>
  <si>
    <t>ENSDARG00000043446</t>
  </si>
  <si>
    <t>insulin-like growth factor binding protein 1a [Source:ZFIN;Acc:ZDB-GENE-021231-1]</t>
  </si>
  <si>
    <t>igfbp1a</t>
  </si>
  <si>
    <t>ENSDARG00000099351</t>
  </si>
  <si>
    <t>coiled-coil domain containing 85B [Source:ZFIN;Acc:ZDB-GENE-060130-56]</t>
  </si>
  <si>
    <t>ccdc85b</t>
  </si>
  <si>
    <t>ENSDARG00000061543</t>
  </si>
  <si>
    <t>Rho GTPase activating protein 10 [Source:ZFIN;Acc:ZDB-GENE-060512-221]</t>
  </si>
  <si>
    <t>arhgap10</t>
  </si>
  <si>
    <t>ENSDARG00000078326</t>
  </si>
  <si>
    <t>ATP-binding cassette, sub-family C (CFTR/MRP), member 5 [Source:ZFIN;Acc:ZDB-GENE-050517-17]</t>
  </si>
  <si>
    <t>abcc5</t>
  </si>
  <si>
    <t>ENSDARG00000061233</t>
  </si>
  <si>
    <t>L-threonine dehydrogenase [Source:ZFIN;Acc:ZDB-GENE-040426-2379]</t>
  </si>
  <si>
    <t>tdh</t>
  </si>
  <si>
    <t>ENSDARG00000002745</t>
  </si>
  <si>
    <t>Fc fragment of IgG binding protein [Source:HGNC Symbol;Acc:HGNC:13572]</t>
  </si>
  <si>
    <t>FCGBP</t>
  </si>
  <si>
    <t>ENSDARG00000098278</t>
  </si>
  <si>
    <t>P450 (cytochrome) oxidoreductase b [Source:ZFIN;Acc:ZDB-GENE-030131-5767]</t>
  </si>
  <si>
    <t>porb</t>
  </si>
  <si>
    <t>ENSDARG00000059035</t>
  </si>
  <si>
    <t>hes-related family bHLH transcription factor with YRPW motif 2 [Source:ZFIN;Acc:ZDB-GENE-000526-1]</t>
  </si>
  <si>
    <t>hey2</t>
  </si>
  <si>
    <t>ENSDARG00000013441</t>
  </si>
  <si>
    <t>integrin, beta 4 [Source:ZFIN;Acc:ZDB-GENE-030131-7209]</t>
  </si>
  <si>
    <t>itgb4</t>
  </si>
  <si>
    <t>ENSDARG00000028507</t>
  </si>
  <si>
    <t>chemokine (C-C motif) ligand 20a, duplicate 3 [Source:ZFIN;Acc:ZDB-GENE-081022-193]</t>
  </si>
  <si>
    <t>ccl20a.3</t>
  </si>
  <si>
    <t>ENSDARG00000101040</t>
  </si>
  <si>
    <t>phosphoglycerate mutase 1a [Source:ZFIN;Acc:ZDB-GENE-030131-1827]</t>
  </si>
  <si>
    <t>pgam1a</t>
  </si>
  <si>
    <t>ENSDARG00000005423</t>
  </si>
  <si>
    <t>small nuclear ribonucleoprotein D3 polypeptide [Source:ZFIN;Acc:ZDB-GENE-040625-55]</t>
  </si>
  <si>
    <t>snrpd3</t>
  </si>
  <si>
    <t>ENSDARG00000013800</t>
  </si>
  <si>
    <t>quattro [Source:ZFIN;Acc:ZDB-GENE-030131-9944]</t>
  </si>
  <si>
    <t>quo</t>
  </si>
  <si>
    <t>ENSDARG00000073684</t>
  </si>
  <si>
    <t>si:ch73-56d11.4 [Source:ZFIN;Acc:ZDB-GENE-131125-46]</t>
  </si>
  <si>
    <t>si:ch73-56d11.4</t>
  </si>
  <si>
    <t>ENSDARG00000053563</t>
  </si>
  <si>
    <t>reticulocalbin 3, EF-hand calcium binding domain [Source:ZFIN;Acc:ZDB-GENE-040625-175]</t>
  </si>
  <si>
    <t>rcn3</t>
  </si>
  <si>
    <t>ENSDARG00000037961</t>
  </si>
  <si>
    <t>anterior gradient 2 [Source:ZFIN;Acc:ZDB-GENE-050417-214]</t>
  </si>
  <si>
    <t>agr2</t>
  </si>
  <si>
    <t>ENSDARG00000070480</t>
  </si>
  <si>
    <t>E74-like factor 3 (ets domain transcription factor, epithelial-specific ) [Source:ZFIN;Acc:ZDB-GENE-030131-8760]</t>
  </si>
  <si>
    <t>elf3</t>
  </si>
  <si>
    <t>ENSDARG00000077982</t>
  </si>
  <si>
    <t>neural precursor cell expressed, developmentally down-regulated 9 [Source:ZFIN;Acc:ZDB-GENE-061013-318]</t>
  </si>
  <si>
    <t>nedd9</t>
  </si>
  <si>
    <t>ENSDARG00000089878</t>
  </si>
  <si>
    <t>si:ch211-243g18.2 [Source:ZFIN;Acc:ZDB-GENE-030131-2830]</t>
  </si>
  <si>
    <t>si:ch211-243g18.2</t>
  </si>
  <si>
    <t>ENSDARG00000044261</t>
  </si>
  <si>
    <t>protein tyrosine phosphatase type IVA, member 1 [Source:ZFIN;Acc:ZDB-GENE-041121-11]</t>
  </si>
  <si>
    <t>ptp4a1</t>
  </si>
  <si>
    <t>ENSDARG00000006242</t>
  </si>
  <si>
    <t>solute carrier family 16, member 9b [Source:ZFIN;Acc:ZDB-GENE-040801-69]</t>
  </si>
  <si>
    <t>slc16a9b</t>
  </si>
  <si>
    <t>ENSDARG00000104687</t>
  </si>
  <si>
    <t>furin (paired basic amino acid cleaving enzyme) a [Source:ZFIN;Acc:ZDB-GENE-040901-1]</t>
  </si>
  <si>
    <t>furina</t>
  </si>
  <si>
    <t>ENSDARG00000062909</t>
  </si>
  <si>
    <t>adaptor-related protein complex 2, mu 1 subunit, a [Source:ZFIN;Acc:ZDB-GENE-030131-9784]</t>
  </si>
  <si>
    <t>ap2m1a</t>
  </si>
  <si>
    <t>ENSDARG00000002790</t>
  </si>
  <si>
    <t>palladin, cytoskeletal associated protein [Source:ZFIN;Acc:ZDB-GENE-041014-252]</t>
  </si>
  <si>
    <t>palld</t>
  </si>
  <si>
    <t>ENSDARG00000040009</t>
  </si>
  <si>
    <t>membrane-spanning 4-domains, subfamily A, member 17a.2 [Source:ZFIN;Acc:ZDB-GENE-070705-367]</t>
  </si>
  <si>
    <t>ms4a17a.2</t>
  </si>
  <si>
    <t>ENSDARG00000093546</t>
  </si>
  <si>
    <t>fibronectin type III domain containing 7a [Source:ZFIN;Acc:ZDB-GENE-070216-2]</t>
  </si>
  <si>
    <t>fndc7a</t>
  </si>
  <si>
    <t>ENSDARG00000077096</t>
  </si>
  <si>
    <t>eukaryotic elongation factor 2 kinase [Source:ZFIN;Acc:ZDB-GENE-020916-2]</t>
  </si>
  <si>
    <t>eef2k</t>
  </si>
  <si>
    <t>ENSDARG00000035835</t>
  </si>
  <si>
    <t>follistatin a [Source:ZFIN;Acc:ZDB-GENE-990714-11]</t>
  </si>
  <si>
    <t>fsta</t>
  </si>
  <si>
    <t>ENSDARG00000052846</t>
  </si>
  <si>
    <t>metallophosphoesterase domain containing 2a [Source:ZFIN;Acc:ZDB-GENE-050417-241]</t>
  </si>
  <si>
    <t>mpped2a</t>
  </si>
  <si>
    <t>ENSDARG00000006889</t>
  </si>
  <si>
    <t>interferon lambda receptor 1 [Source:ZFIN;Acc:ZDB-GENE-071120-5]</t>
  </si>
  <si>
    <t>ifnlr1</t>
  </si>
  <si>
    <t>ENSDARG00000087131</t>
  </si>
  <si>
    <t>solute carrier family 7 (anionic amino acid transporter light chain, xc- system), member 11 [Source:ZFIN;Acc:ZDB-GENE-150416-1]</t>
  </si>
  <si>
    <t>slc7a11</t>
  </si>
  <si>
    <t>ENSDARG00000071384</t>
  </si>
  <si>
    <t>sprouty RTK signaling antagonist 2 [Source:ZFIN;Acc:ZDB-GENE-030131-7038]</t>
  </si>
  <si>
    <t>spry2</t>
  </si>
  <si>
    <t>ENSDARG00000078308</t>
  </si>
  <si>
    <t>biogenesis of lysosomal organelles complex-1, subunit 4, cappuccino [Source:ZFIN;Acc:ZDB-GENE-040801-215]</t>
  </si>
  <si>
    <t>bloc1s4</t>
  </si>
  <si>
    <t>ENSDARG00000007597</t>
  </si>
  <si>
    <t>lectin, galactoside-binding, soluble, 3 binding protein a [Source:ZFIN;Acc:ZDB-GENE-060331-57]</t>
  </si>
  <si>
    <t>lgals3bpa</t>
  </si>
  <si>
    <t>ENSDARG00000037805</t>
  </si>
  <si>
    <t>RAB25, member RAS oncogene family a [Source:ZFIN;Acc:ZDB-GENE-041212-69]</t>
  </si>
  <si>
    <t>rab25a</t>
  </si>
  <si>
    <t>ENSDARG00000058800</t>
  </si>
  <si>
    <t>microtubule-associated protein 1 light chain 3 gamma, like [Source:ZFIN;Acc:ZDB-GENE-140819-1]</t>
  </si>
  <si>
    <t>map1lc3cl</t>
  </si>
  <si>
    <t>ENSDARG00000075727</t>
  </si>
  <si>
    <t>si:dkey-16l2.17 [Source:ZFIN;Acc:ZDB-GENE-141212-262]</t>
  </si>
  <si>
    <t>si:dkey-16l2.17</t>
  </si>
  <si>
    <t>ENSDARG00000027196</t>
  </si>
  <si>
    <t>hydroxyacylglutathione hydrolase [Source:ZFIN;Acc:ZDB-GENE-030131-8921]</t>
  </si>
  <si>
    <t>hagh</t>
  </si>
  <si>
    <t>ENSDARG00000025338</t>
  </si>
  <si>
    <t>si:ch211-286b5.5 [Source:ZFIN;Acc:ZDB-GENE-121214-209]</t>
  </si>
  <si>
    <t>si:ch211-286b5.5</t>
  </si>
  <si>
    <t>ENSDARG00000096661</t>
  </si>
  <si>
    <t>thrombospondin-type laminin G domain and EAR repeats b [Source:ZFIN;Acc:ZDB-GENE-030131-4270]</t>
  </si>
  <si>
    <t>tspearb</t>
  </si>
  <si>
    <t>ENSDARG00000089235</t>
  </si>
  <si>
    <t>dachshund b [Source:ZFIN;Acc:ZDB-GENE-020402-4]</t>
  </si>
  <si>
    <t>dachb</t>
  </si>
  <si>
    <t>ENSDARG00000034785</t>
  </si>
  <si>
    <t>cytoplasmic polyadenylation element binding protein 4 [Source:HGNC Symbol;Acc:HGNC:21747]</t>
  </si>
  <si>
    <t>CPEB4</t>
  </si>
  <si>
    <t>ENSDARG00000100499</t>
  </si>
  <si>
    <t>si:dkey-192g7.3 [Source:ZFIN;Acc:ZDB-GENE-070912-411]</t>
  </si>
  <si>
    <t>si:dkey-192g7.3</t>
  </si>
  <si>
    <t>ENSDARG00000094012</t>
  </si>
  <si>
    <t>fibroblast activation protein, alpha [Source:ZFIN;Acc:ZDB-GENE-081104-439]</t>
  </si>
  <si>
    <t>fap</t>
  </si>
  <si>
    <t>ENSDARG00000078468</t>
  </si>
  <si>
    <t>EPH receptor A2 [Source:HGNC Symbol;Acc:HGNC:3386]</t>
  </si>
  <si>
    <t>EPHA2</t>
  </si>
  <si>
    <t>ENSDARG00000022727</t>
  </si>
  <si>
    <t>carboxypeptidase E [Source:ZFIN;Acc:ZDB-GENE-090313-68]</t>
  </si>
  <si>
    <t>cpe</t>
  </si>
  <si>
    <t>ENSDARG00000055874</t>
  </si>
  <si>
    <t>EH-domain containing 1a [Source:ZFIN;Acc:ZDB-GENE-040426-2518]</t>
  </si>
  <si>
    <t>ehd1a</t>
  </si>
  <si>
    <t>ENSDARG00000098853</t>
  </si>
  <si>
    <t>activating transcription factor 3 [Source:ZFIN;Acc:ZDB-GENE-040426-728]</t>
  </si>
  <si>
    <t>atf3</t>
  </si>
  <si>
    <t>ENSDARG00000007823</t>
  </si>
  <si>
    <t>chromatin modifying protein 1B [Source:ZFIN;Acc:ZDB-GENE-030131-8370]</t>
  </si>
  <si>
    <t>chmp1b</t>
  </si>
  <si>
    <t>ENSDARG00000099624</t>
  </si>
  <si>
    <t>hairy-related 8a [Source:ZFIN;Acc:ZDB-GENE-030131-2376]</t>
  </si>
  <si>
    <t>her8a</t>
  </si>
  <si>
    <t>ENSDARG00000016363</t>
  </si>
  <si>
    <t>amyloid beta (A4) precursor protein a [Source:ZFIN;Acc:ZDB-GENE-000616-13]</t>
  </si>
  <si>
    <t>appa</t>
  </si>
  <si>
    <t>ENSDARG00000104279</t>
  </si>
  <si>
    <t>ecotropic viral integration site 5b [Source:ZFIN;Acc:ZDB-GENE-041111-244]</t>
  </si>
  <si>
    <t>evi5b</t>
  </si>
  <si>
    <t>ENSDARG00000070839</t>
  </si>
  <si>
    <t>connexin 44.2 [Source:ZFIN;Acc:ZDB-GENE-010619-1]</t>
  </si>
  <si>
    <t>cx44.2</t>
  </si>
  <si>
    <t>ENSDARG00000077765</t>
  </si>
  <si>
    <t>early B-cell factor 1b [Source:ZFIN;Acc:ZDB-GENE-090814-2]</t>
  </si>
  <si>
    <t>ebf1b</t>
  </si>
  <si>
    <t>ENSDARG00000069196</t>
  </si>
  <si>
    <t>DEAD (Asp-Glu-Ala-Asp) box helicase 5 [Source:ZFIN;Acc:ZDB-GENE-030131-925]</t>
  </si>
  <si>
    <t>ddx5</t>
  </si>
  <si>
    <t>ENSDARG00000038068</t>
  </si>
  <si>
    <t>transmembrane channel-like 4 [Source:ZFIN;Acc:ZDB-GENE-030131-7489]</t>
  </si>
  <si>
    <t>tmc4</t>
  </si>
  <si>
    <t>ENSDARG00000031757</t>
  </si>
  <si>
    <t>si:ch211-161h7.5 [Source:ZFIN;Acc:ZDB-GENE-091204-265]</t>
  </si>
  <si>
    <t>si:ch211-161h7.5</t>
  </si>
  <si>
    <t>ENSDARG00000093044</t>
  </si>
  <si>
    <t>ezrin a [Source:ZFIN;Acc:ZDB-GENE-050522-18]</t>
  </si>
  <si>
    <t>ezra</t>
  </si>
  <si>
    <t>ENSDARG00000020944</t>
  </si>
  <si>
    <t>nuclear factor, interleukin 3 regulated, member 6 [Source:ZFIN;Acc:ZDB-GENE-040704-63]</t>
  </si>
  <si>
    <t>nfil3-6</t>
  </si>
  <si>
    <t>ENSDARG00000087188</t>
  </si>
  <si>
    <t>histone 2, H2, like [Source:ZFIN;Acc:ZDB-GENE-031118-36]</t>
  </si>
  <si>
    <t>hist2h2l</t>
  </si>
  <si>
    <t>ENSDARG00000068996</t>
  </si>
  <si>
    <t>prominin 1 b [Source:ZFIN;Acc:ZDB-GENE-031003-1]</t>
  </si>
  <si>
    <t>prom1b</t>
  </si>
  <si>
    <t>ENSDARG00000034007</t>
  </si>
  <si>
    <t>prostaglandin-endoperoxide synthase 2b [Source:ZFIN;Acc:ZDB-GENE-041014-323]</t>
  </si>
  <si>
    <t>ptgs2b</t>
  </si>
  <si>
    <t>ENSDARG00000010276</t>
  </si>
  <si>
    <t>cyclin-dependent kinase inhibitor 1Bb [Source:ZFIN;Acc:ZDB-GENE-030521-13]</t>
  </si>
  <si>
    <t>cdkn1bb</t>
  </si>
  <si>
    <t>ENSDARG00000054271</t>
  </si>
  <si>
    <t>helicase, lymphoid-specific [Source:ZFIN;Acc:ZDB-GENE-030131-9923]</t>
  </si>
  <si>
    <t>hells</t>
  </si>
  <si>
    <t>ENSDARG00000057738</t>
  </si>
  <si>
    <t>minichromosome maintenance complex component 6 [Source:ZFIN;Acc:ZDB-GENE-030909-6]</t>
  </si>
  <si>
    <t>mcm6</t>
  </si>
  <si>
    <t>ENSDARG00000057683</t>
  </si>
  <si>
    <t>brix domain containing 2 [Source:ZFIN;Acc:ZDB-GENE-060518-1]</t>
  </si>
  <si>
    <t>bxdc2</t>
  </si>
  <si>
    <t>ENSDARG00000098935</t>
  </si>
  <si>
    <t>NK3 homeobox 2 [Source:ZFIN;Acc:ZDB-GENE-030127-1]</t>
  </si>
  <si>
    <t>nkx3.2</t>
  </si>
  <si>
    <t>ENSDARG00000037639</t>
  </si>
  <si>
    <t>ribosomal protein L4 [Source:ZFIN;Acc:ZDB-GENE-030131-9034]</t>
  </si>
  <si>
    <t>rpl4</t>
  </si>
  <si>
    <t>ENSDARG00000041182</t>
  </si>
  <si>
    <t>small nuclear ribonucleoprotein polypeptides B and B1 [Source:ZFIN;Acc:ZDB-GENE-040426-1819]</t>
  </si>
  <si>
    <t>snrpb</t>
  </si>
  <si>
    <t>ENSDARG00000011125</t>
  </si>
  <si>
    <t>lipin 1 [Source:ZFIN;Acc:ZDB-GENE-080722-2]</t>
  </si>
  <si>
    <t>lpin1</t>
  </si>
  <si>
    <t>ENSDARG00000020239</t>
  </si>
  <si>
    <t>translation machinery associated 7 homolog [Source:ZFIN;Acc:ZDB-GENE-061027-176]</t>
  </si>
  <si>
    <t>tma7</t>
  </si>
  <si>
    <t>ENSDARG00000071670</t>
  </si>
  <si>
    <t>SNU13 homolog, small nuclear ribonucleoprotein b (U4/U6.U5) [Source:ZFIN;Acc:ZDB-GENE-030131-9670]</t>
  </si>
  <si>
    <t>snu13b</t>
  </si>
  <si>
    <t>ENSDARG00000023299</t>
  </si>
  <si>
    <t>ATP-binding cassette, sub-family A (ABC1), member 12 [Source:ZFIN;Acc:ZDB-GENE-030131-9790]</t>
  </si>
  <si>
    <t>abca12</t>
  </si>
  <si>
    <t>ENSDARG00000074749</t>
  </si>
  <si>
    <t>ribosomal protein L5b [Source:ZFIN;Acc:ZDB-GENE-040625-93]</t>
  </si>
  <si>
    <t>rpl5b</t>
  </si>
  <si>
    <t>ENSDARG00000015862</t>
  </si>
  <si>
    <t>baculoviral IAP repeat containing 2 [Source:ZFIN;Acc:ZDB-GENE-030825-6]</t>
  </si>
  <si>
    <t>birc2</t>
  </si>
  <si>
    <t>ENSDARG00000044619</t>
  </si>
  <si>
    <t>si:dkey-182g1.2 [Source:ZFIN;Acc:ZDB-GENE-060503-619]</t>
  </si>
  <si>
    <t>si:dkey-182g1.2</t>
  </si>
  <si>
    <t>ENSDARG00000052680</t>
  </si>
  <si>
    <t>HMP19 protein [Source:ZFIN;Acc:ZDB-GENE-030131-3694]</t>
  </si>
  <si>
    <t>hmp19</t>
  </si>
  <si>
    <t>ENSDARG00000102975</t>
  </si>
  <si>
    <t>ER membrane protein complex subunit 10 [Source:ZFIN;Acc:ZDB-GENE-030131-9045]</t>
  </si>
  <si>
    <t>emc10</t>
  </si>
  <si>
    <t>ENSDARG00000054793</t>
  </si>
  <si>
    <t>S100 calcium binding protein S [Source:ZFIN;Acc:ZDB-GENE-040822-31]</t>
  </si>
  <si>
    <t>s100s</t>
  </si>
  <si>
    <t>ENSDARG00000036773</t>
  </si>
  <si>
    <t>ADAM metallopeptidase domain 10a [Source:ZFIN;Acc:ZDB-GENE-040917-2]</t>
  </si>
  <si>
    <t>adam10a</t>
  </si>
  <si>
    <t>ENSDARG00000053468</t>
  </si>
  <si>
    <t>mitochondrial ribosomal protein L4 [Source:ZFIN;Acc:ZDB-GENE-050522-388]</t>
  </si>
  <si>
    <t>mrpl4</t>
  </si>
  <si>
    <t>ENSDARG00000058824</t>
  </si>
  <si>
    <t>cysteine-serine-rich nuclear protein 1a [Source:ZFIN;Acc:ZDB-GENE-070912-475]</t>
  </si>
  <si>
    <t>csrnp1a</t>
  </si>
  <si>
    <t>ENSDARG00000031426</t>
  </si>
  <si>
    <t>putative breast adenocarcinoma marker [Source:ZFIN;Acc:ZDB-GENE-040426-2922]</t>
  </si>
  <si>
    <t>bc2</t>
  </si>
  <si>
    <t>ENSDARG00000053979</t>
  </si>
  <si>
    <t>CT956002.1</t>
  </si>
  <si>
    <t>ENSDARG00000102873</t>
  </si>
  <si>
    <t>tyrosine 3-monooxygenase/tryptophan 5-monooxygenase activation protein, beta polypeptide like [Source:ZFIN;Acc:ZDB-GENE-030131-448]</t>
  </si>
  <si>
    <t>ywhabl</t>
  </si>
  <si>
    <t>ENSDARG00000040287</t>
  </si>
  <si>
    <t>signal transducing adaptor molecule (SH3 domain and ITAM motif) 2 [Source:ZFIN;Acc:ZDB-GENE-041114-64]</t>
  </si>
  <si>
    <t>stam2</t>
  </si>
  <si>
    <t>ENSDARG00000005318</t>
  </si>
  <si>
    <t>collagen, type IV, alpha 6 [Source:ZFIN;Acc:ZDB-GENE-101001-2]</t>
  </si>
  <si>
    <t>col4a6</t>
  </si>
  <si>
    <t>ENSDARG00000052061</t>
  </si>
  <si>
    <t>zgc:101679 [Source:ZFIN;Acc:ZDB-GENE-041010-181]</t>
  </si>
  <si>
    <t>F8A2</t>
  </si>
  <si>
    <t>ENSDARG00000025518</t>
  </si>
  <si>
    <t>transcription factor Dp-1, a [Source:ZFIN;Acc:ZDB-GENE-040426-2883]</t>
  </si>
  <si>
    <t>tfdp1a</t>
  </si>
  <si>
    <t>ENSDARG00000019293</t>
  </si>
  <si>
    <t>BMP and activin membrane-bound inhibitor (Xenopus laevis) homolog a [Source:ZFIN;Acc:ZDB-GENE-010416-1]</t>
  </si>
  <si>
    <t>bambia</t>
  </si>
  <si>
    <t>ENSDARG00000055381</t>
  </si>
  <si>
    <t>caveolin 2 [Source:ZFIN;Acc:ZDB-GENE-040625-164]</t>
  </si>
  <si>
    <t>cav2</t>
  </si>
  <si>
    <t>ENSDARG00000052000</t>
  </si>
  <si>
    <t>FERM, RhoGEF (ARHGEF) and pleckstrin domain protein 1 (chondrocyte-derived) [Source:ZFIN;Acc:ZDB-GENE-070424-163]</t>
  </si>
  <si>
    <t>farp1</t>
  </si>
  <si>
    <t>ENSDARG00000074381</t>
  </si>
  <si>
    <t>GRB10 interacting GYF protein 1 [Source:ZFIN;Acc:ZDB-GENE-091204-310]</t>
  </si>
  <si>
    <t>gigyf1</t>
  </si>
  <si>
    <t>ENSDARG00000078691</t>
  </si>
  <si>
    <t>RAB5A, member RAS oncogene family, b [Source:ZFIN;Acc:ZDB-GENE-040122-3]</t>
  </si>
  <si>
    <t>rab5ab</t>
  </si>
  <si>
    <t>ENSDARG00000007257</t>
  </si>
  <si>
    <t>ER degradation enhancer, mannosidase alpha-like 2 [Source:ZFIN;Acc:ZDB-GENE-060519-1]</t>
  </si>
  <si>
    <t>edem2</t>
  </si>
  <si>
    <t>ENSDARG00000028448</t>
  </si>
  <si>
    <t>SMAD family member 5 [Source:ZFIN;Acc:ZDB-GENE-990603-9]</t>
  </si>
  <si>
    <t>smad5</t>
  </si>
  <si>
    <t>ENSDARG00000037238</t>
  </si>
  <si>
    <t>microtubule associated monooxygenase, calponin and LIM domain containing 2b [Source:ZFIN;Acc:ZDB-GENE-061207-15]</t>
  </si>
  <si>
    <t>mical2b</t>
  </si>
  <si>
    <t>ENSDARG00000020395</t>
  </si>
  <si>
    <t>ring finger protein 185 [Source:ZFIN;Acc:ZDB-GENE-040426-1977]</t>
  </si>
  <si>
    <t>rnf185</t>
  </si>
  <si>
    <t>ENSDARG00000032997</t>
  </si>
  <si>
    <t>si:ch211-140m22.7 [Source:ZFIN;Acc:ZDB-GENE-070912-73]</t>
  </si>
  <si>
    <t>ATP5J</t>
  </si>
  <si>
    <t>ENSDARG00000077967</t>
  </si>
  <si>
    <t>ATP5J.1</t>
  </si>
  <si>
    <t>zgc:56525 [Source:ZFIN;Acc:ZDB-GENE-040426-1060]</t>
  </si>
  <si>
    <t>GOLM1</t>
  </si>
  <si>
    <t>ENSDARG00000025858</t>
  </si>
  <si>
    <t>K(lysine) acetyltransferase 6A [Source:ZFIN;Acc:ZDB-GENE-021022-3]</t>
  </si>
  <si>
    <t>kat6a</t>
  </si>
  <si>
    <t>ENSDARG00000018907</t>
  </si>
  <si>
    <t>RNA binding protein, fox-1 homolog (C. elegans) 2 [Source:ZFIN;Acc:ZDB-GENE-040426-2464]</t>
  </si>
  <si>
    <t>rbfox2</t>
  </si>
  <si>
    <t>ENSDARG00000052182</t>
  </si>
  <si>
    <t>ELOVL fatty acid elongase 1a [Source:ZFIN;Acc:ZDB-GENE-041010-66]</t>
  </si>
  <si>
    <t>elovl1a</t>
  </si>
  <si>
    <t>ENSDARG00000099960</t>
  </si>
  <si>
    <t>dishevelled segment polarity protein 2 [Source:ZFIN;Acc:ZDB-GENE-041118-20]</t>
  </si>
  <si>
    <t>dvl2</t>
  </si>
  <si>
    <t>ENSDARG00000056184</t>
  </si>
  <si>
    <t>protein tyrosine phosphatase, receptor type, g a [Source:ZFIN;Acc:ZDB-GENE-101101-4]</t>
  </si>
  <si>
    <t>ptprga</t>
  </si>
  <si>
    <t>ENSDARG00000045006</t>
  </si>
  <si>
    <t>catenin (cadherin-associated protein), alpha-like 1 [Source:ZFIN;Acc:ZDB-GENE-060503-507]</t>
  </si>
  <si>
    <t>ctnnal1</t>
  </si>
  <si>
    <t>ENSDARG00000018162</t>
  </si>
  <si>
    <t>si:ch211-127l15.5 [Source:ZFIN;Acc:ZDB-GENE-030131-1459]</t>
  </si>
  <si>
    <t>si:ch211-127l15.5</t>
  </si>
  <si>
    <t>ENSDARG00000034943</t>
  </si>
  <si>
    <t>derlin 2 [Source:ZFIN;Acc:ZDB-GENE-050522-90]</t>
  </si>
  <si>
    <t>derl2</t>
  </si>
  <si>
    <t>ENSDARG00000042401</t>
  </si>
  <si>
    <t>family with sequence similarity 45, member A [Source:ZFIN;Acc:ZDB-GENE-030131-3548]</t>
  </si>
  <si>
    <t>fam45a</t>
  </si>
  <si>
    <t>ENSDARG00000062965</t>
  </si>
  <si>
    <t>RAB5B, member RAS oncogene family [Source:ZFIN;Acc:ZDB-GENE-040426-2593]</t>
  </si>
  <si>
    <t>rab5b</t>
  </si>
  <si>
    <t>ENSDARG00000016059</t>
  </si>
  <si>
    <t>cytochrome c oxidase subunit VIb polypeptide 2 [Source:ZFIN;Acc:ZDB-GENE-040426-1566]</t>
  </si>
  <si>
    <t>cox6b2</t>
  </si>
  <si>
    <t>ENSDARG00000037860</t>
  </si>
  <si>
    <t>cytochrome P450, family 2, subfamily V, polypeptide 1 [Source:ZFIN;Acc:ZDB-GENE-040912-139]</t>
  </si>
  <si>
    <t>cyp2v1</t>
  </si>
  <si>
    <t>ENSDARG00000018485</t>
  </si>
  <si>
    <t>sorting nexin 14 [Source:ZFIN;Acc:ZDB-GENE-040724-144]</t>
  </si>
  <si>
    <t>snx14</t>
  </si>
  <si>
    <t>ENSDARG00000006332</t>
  </si>
  <si>
    <t>rhomboid 5 homolog 1a (Drosophila) [Source:ZFIN;Acc:ZDB-GENE-040704-75]</t>
  </si>
  <si>
    <t>rhbdf1a</t>
  </si>
  <si>
    <t>ENSDARG00000036541</t>
  </si>
  <si>
    <t>FO681288.1</t>
  </si>
  <si>
    <t>ENSDARG00000054584</t>
  </si>
  <si>
    <t>aldehyde dehydrogenase 2 family (mitochondrial), tandem duplicate 1 [Source:ZFIN;Acc:ZDB-GENE-040426-1262]</t>
  </si>
  <si>
    <t>aldh2.1</t>
  </si>
  <si>
    <t>ENSDARG00000089924</t>
  </si>
  <si>
    <t>annexin A4 [Source:ZFIN;Acc:ZDB-GENE-030707-1]</t>
  </si>
  <si>
    <t>anxa4</t>
  </si>
  <si>
    <t>ENSDARG00000036456</t>
  </si>
  <si>
    <t>solute carrier family 25 (mitochondrial carrier: glutamate), member 22 [Source:ZFIN;Acc:ZDB-GENE-040426-2745]</t>
  </si>
  <si>
    <t>slc25a22</t>
  </si>
  <si>
    <t>ENSDARG00000020893</t>
  </si>
  <si>
    <t>major histocompatibility complex class I ZBA [Source:ZFIN;Acc:ZDB-GENE-040426-2149]</t>
  </si>
  <si>
    <t>mhc1zba</t>
  </si>
  <si>
    <t>ENSDARG00000036588</t>
  </si>
  <si>
    <t>histone deacetylase 6 [Source:ZFIN;Acc:ZDB-GENE-030131-3232]</t>
  </si>
  <si>
    <t>hdac6</t>
  </si>
  <si>
    <t>ENSDARG00000008384</t>
  </si>
  <si>
    <t>mirror-image polydactyly 1 [Source:ZFIN;Acc:ZDB-GENE-030131-41]</t>
  </si>
  <si>
    <t>mipol1</t>
  </si>
  <si>
    <t>ENSDARG00000104845</t>
  </si>
  <si>
    <t>RAB3A, member RAS oncogene family, a [Source:ZFIN;Acc:ZDB-GENE-040801-2]</t>
  </si>
  <si>
    <t>rab3aa</t>
  </si>
  <si>
    <t>ENSDARG00000056347</t>
  </si>
  <si>
    <t>inositol-tetrakisphosphate 1-kinase b [Source:ZFIN;Acc:ZDB-GENE-131126-72]</t>
  </si>
  <si>
    <t>itpk1b</t>
  </si>
  <si>
    <t>ENSDARG00000070583</t>
  </si>
  <si>
    <t>bisphosphate nucleotidase 1 [Source:ZFIN;Acc:ZDB-GENE-040718-46]</t>
  </si>
  <si>
    <t>bpnt1</t>
  </si>
  <si>
    <t>ENSDARG00000043684</t>
  </si>
  <si>
    <t>si:dkey-17m8.1 [Source:ZFIN;Acc:ZDB-GENE-110411-225]</t>
  </si>
  <si>
    <t>si:dkey-17m8.1</t>
  </si>
  <si>
    <t>ENSDARG00000079530</t>
  </si>
  <si>
    <t>zinc finger, DHHC-type containing 13 [Source:ZFIN;Acc:ZDB-GENE-041212-79]</t>
  </si>
  <si>
    <t>zdhhc13</t>
  </si>
  <si>
    <t>ENSDARG00000101144</t>
  </si>
  <si>
    <t>musashi RNA-binding protein 2b [Source:ZFIN;Acc:ZDB-GENE-040426-1268]</t>
  </si>
  <si>
    <t>msi2b</t>
  </si>
  <si>
    <t>ENSDARG00000032614</t>
  </si>
  <si>
    <t>ras-related C3 botulinum toxin substrate 2 (rho family, small GTP binding protein Rac2) [Source:ZFIN;Acc:ZDB-GENE-040625-27]</t>
  </si>
  <si>
    <t>rac2</t>
  </si>
  <si>
    <t>ENSDARG00000038010</t>
  </si>
  <si>
    <t>BTB and CNC homology 1, basic leucine zipper transcription factor 1 b [Source:ZFIN;Acc:ZDB-GENE-050522-220]</t>
  </si>
  <si>
    <t>bach1b</t>
  </si>
  <si>
    <t>ENSDARG00000002196</t>
  </si>
  <si>
    <t>phosphodiesterase 4C, cAMP-specific a [Source:ZFIN;Acc:ZDB-GENE-070912-373]</t>
  </si>
  <si>
    <t>pde4ca</t>
  </si>
  <si>
    <t>ENSDARG00000013221</t>
  </si>
  <si>
    <t>zgc:165409 [Source:ZFIN;Acc:ZDB-GENE-070615-19]</t>
  </si>
  <si>
    <t>zgc:165409</t>
  </si>
  <si>
    <t>ENSDARG00000091385</t>
  </si>
  <si>
    <t>Cbp/p300-interacting transactivator, with Glu/Asp-rich carboxy-terminal domain, 4b [Source:ZFIN;Acc:ZDB-GENE-030425-5]</t>
  </si>
  <si>
    <t>cited4b</t>
  </si>
  <si>
    <t>ENSDARG00000101009</t>
  </si>
  <si>
    <t>NOP10 ribonucleoprotein homolog (yeast) [Source:ZFIN;Acc:ZDB-GENE-041007-4]</t>
  </si>
  <si>
    <t>nop10</t>
  </si>
  <si>
    <t>ENSDARG00000104227</t>
  </si>
  <si>
    <t>LSM6 homolog, U6 small nuclear RNA and mRNA degradation associated [Source:ZFIN;Acc:ZDB-GENE-040625-50]</t>
  </si>
  <si>
    <t>lsm6</t>
  </si>
  <si>
    <t>ENSDARG00000036995</t>
  </si>
  <si>
    <t>heat shock 10 protein 1 [Source:ZFIN;Acc:ZDB-GENE-000906-2]</t>
  </si>
  <si>
    <t>hspe1</t>
  </si>
  <si>
    <t>ENSDARG00000056167</t>
  </si>
  <si>
    <t>SIX homeobox 1b [Source:ZFIN;Acc:ZDB-GENE-040426-2308]</t>
  </si>
  <si>
    <t>six1b</t>
  </si>
  <si>
    <t>ENSDARG00000026473</t>
  </si>
  <si>
    <t>ATG12 autophagy related 12 homolog (S. cerevisiae) [Source:ZFIN;Acc:ZDB-GENE-071205-7]</t>
  </si>
  <si>
    <t>atg12</t>
  </si>
  <si>
    <t>ENSDARG00000069545</t>
  </si>
  <si>
    <t>early growth response 1 [Source:ZFIN;Acc:ZDB-GENE-980526-320]</t>
  </si>
  <si>
    <t>egr1</t>
  </si>
  <si>
    <t>ENSDARG00000037421</t>
  </si>
  <si>
    <t>SET translocation (myeloid leukemia-associated) A [Source:ZFIN;Acc:ZDB-GENE-030131-2221]</t>
  </si>
  <si>
    <t>seta</t>
  </si>
  <si>
    <t>ENSDARG00000031495</t>
  </si>
  <si>
    <t>myosin, light chain 12, genome duplicate 1 [Source:ZFIN;Acc:ZDB-GENE-030131-4918]</t>
  </si>
  <si>
    <t>myl12.1</t>
  </si>
  <si>
    <t>ENSDARG00000099766</t>
  </si>
  <si>
    <t>polymerase (RNA) II (DNA directed) polypeptide D [Source:ZFIN;Acc:ZDB-GENE-040714-2]</t>
  </si>
  <si>
    <t>polr2d</t>
  </si>
  <si>
    <t>ENSDARG00000076509</t>
  </si>
  <si>
    <t>myeloid/lymphoid or mixed-lineage leukemia; translocated to, 4a [Source:ZFIN;Acc:ZDB-GENE-050419-52]</t>
  </si>
  <si>
    <t>mllt4a</t>
  </si>
  <si>
    <t>ENSDARG00000029472</t>
  </si>
  <si>
    <t>sorting nexin 22 [Source:ZFIN;Acc:ZDB-GENE-060825-154]</t>
  </si>
  <si>
    <t>snx22</t>
  </si>
  <si>
    <t>ENSDARG00000053204</t>
  </si>
  <si>
    <t>ribulose-5-phosphate-3-epimerase [Source:ZFIN;Acc:ZDB-GENE-030131-6837]</t>
  </si>
  <si>
    <t>rpe</t>
  </si>
  <si>
    <t>ENSDARG00000005251</t>
  </si>
  <si>
    <t>NADH dehydrogenase (ubiquinone) 1 alpha subcomplex, 11 [Source:ZFIN;Acc:ZDB-GENE-040426-1631]</t>
  </si>
  <si>
    <t>ndufa11</t>
  </si>
  <si>
    <t>ENSDARG00000042777</t>
  </si>
  <si>
    <t>ras homolog family member Cb [Source:ZFIN;Acc:ZDB-GENE-040718-144]</t>
  </si>
  <si>
    <t>rhocb</t>
  </si>
  <si>
    <t>ENSDARG00000018328</t>
  </si>
  <si>
    <t>solute carrier family 20 (phosphate transporter), member 1b [Source:ZFIN;Acc:ZDB-GENE-030131-260]</t>
  </si>
  <si>
    <t>slc20a1b</t>
  </si>
  <si>
    <t>ENSDARG00000010641</t>
  </si>
  <si>
    <t>coiled-coil domain containing 32 [Source:ZFIN;Acc:ZDB-GENE-131127-581]</t>
  </si>
  <si>
    <t>ccdc32</t>
  </si>
  <si>
    <t>ENSDARG00000073962</t>
  </si>
  <si>
    <t>DEAH (Asp-Glu-Ala-His) box helicase 15 [Source:ZFIN;Acc:ZDB-GENE-030131-650]</t>
  </si>
  <si>
    <t>dhx15</t>
  </si>
  <si>
    <t>ENSDARG00000015392</t>
  </si>
  <si>
    <t>proteasome 26S subunit, non-ATPase 11a [Source:ZFIN;Acc:ZDB-GENE-030131-2711]</t>
  </si>
  <si>
    <t>psmd11a</t>
  </si>
  <si>
    <t>ENSDARG00000060150</t>
  </si>
  <si>
    <t>saccharopine dehydrogenase b [Source:ZFIN;Acc:ZDB-GENE-041010-211]</t>
  </si>
  <si>
    <t>sccpdhb</t>
  </si>
  <si>
    <t>ENSDARG00000024564</t>
  </si>
  <si>
    <t>polypyrimidine tract binding protein 1b [Source:ZFIN;Acc:ZDB-GENE-030131-9796]</t>
  </si>
  <si>
    <t>ptbp1b</t>
  </si>
  <si>
    <t>ENSDARG00000031907</t>
  </si>
  <si>
    <t>cell division cycle associated 7a [Source:ZFIN;Acc:ZDB-GENE-050417-29]</t>
  </si>
  <si>
    <t>cdca7a</t>
  </si>
  <si>
    <t>ENSDARG00000077620</t>
  </si>
  <si>
    <t>eukaryotic translation initiation factor 4A3 [Source:ZFIN;Acc:ZDB-GENE-040426-915]</t>
  </si>
  <si>
    <t>eif4a3</t>
  </si>
  <si>
    <t>ENSDARG00000102978</t>
  </si>
  <si>
    <t>ring finger protein 121 [Source:ZFIN;Acc:ZDB-GENE-050809-3]</t>
  </si>
  <si>
    <t>rnf121</t>
  </si>
  <si>
    <t>ENSDARG00000060282</t>
  </si>
  <si>
    <t>NHP2 ribonucleoprotein homolog (yeast) [Source:ZFIN;Acc:ZDB-GENE-030131-533]</t>
  </si>
  <si>
    <t>nhp2</t>
  </si>
  <si>
    <t>ENSDARG00000069422</t>
  </si>
  <si>
    <t>breast cancer metastasis-suppressor 1-like a [Source:ZFIN;Acc:ZDB-GENE-050913-49]</t>
  </si>
  <si>
    <t>brms1la</t>
  </si>
  <si>
    <t>ENSDARG00000006235</t>
  </si>
  <si>
    <t>angiopoietin-like 4 [Source:ZFIN;Acc:ZDB-GENE-041111-222]</t>
  </si>
  <si>
    <t>angptl4</t>
  </si>
  <si>
    <t>ENSDARG00000035859</t>
  </si>
  <si>
    <t>translocase of outer mitochondrial membrane 7 homolog (yeast) [Source:ZFIN;Acc:ZDB-GENE-060825-115]</t>
  </si>
  <si>
    <t>tomm7</t>
  </si>
  <si>
    <t>ENSDARG00000067717</t>
  </si>
  <si>
    <t>small nuclear ribonucleoprotein D1 polypeptide [Source:ZFIN;Acc:ZDB-GENE-020419-14]</t>
  </si>
  <si>
    <t>snrpd1</t>
  </si>
  <si>
    <t>ENSDARG00000011648</t>
  </si>
  <si>
    <t>nucleolar protein interacting with the FHA domain of MKI67 [Source:ZFIN;Acc:ZDB-GENE-021231-4]</t>
  </si>
  <si>
    <t>nifk</t>
  </si>
  <si>
    <t>ENSDARG00000040666</t>
  </si>
  <si>
    <t>pleiotropic regulator 1 [Source:ZFIN;Acc:ZDB-GENE-040426-2787]</t>
  </si>
  <si>
    <t>plrg1</t>
  </si>
  <si>
    <t>ENSDARG00000037283</t>
  </si>
  <si>
    <t>polymerase (DNA-directed), epsilon 4, accessory subunit [Source:ZFIN;Acc:ZDB-GENE-050522-309]</t>
  </si>
  <si>
    <t>pole4</t>
  </si>
  <si>
    <t>ENSDARG00000013016</t>
  </si>
  <si>
    <t>keratinocyte associated protein 2 [Source:ZFIN;Acc:ZDB-GENE-060825-91]</t>
  </si>
  <si>
    <t>krtcap2</t>
  </si>
  <si>
    <t>ENSDARG00000070386</t>
  </si>
  <si>
    <t>RNA binding motif protein 4.3 [Source:ZFIN;Acc:ZDB-GENE-040426-1938]</t>
  </si>
  <si>
    <t>rbm4.3</t>
  </si>
  <si>
    <t>ENSDARG00000022129</t>
  </si>
  <si>
    <t>zgc:171480 [Source:ZFIN;Acc:ZDB-GENE-080204-83]</t>
  </si>
  <si>
    <t>MRPL55</t>
  </si>
  <si>
    <t>ENSDARG00000043402</t>
  </si>
  <si>
    <t>heterogeneous nuclear ribonucleoprotein A1b [Source:ZFIN;Acc:ZDB-GENE-030912-14]</t>
  </si>
  <si>
    <t>hnrnpa1b</t>
  </si>
  <si>
    <t>ENSDARG00000036675</t>
  </si>
  <si>
    <t>glutathione peroxidase 4b [Source:ZFIN;Acc:ZDB-GENE-030410-3]</t>
  </si>
  <si>
    <t>gpx4b</t>
  </si>
  <si>
    <t>ENSDARG00000076836</t>
  </si>
  <si>
    <t>zgc:55512 [Source:ZFIN;Acc:ZDB-GENE-030131-4195]</t>
  </si>
  <si>
    <t>zgc:55512</t>
  </si>
  <si>
    <t>ENSDARG00000003017</t>
  </si>
  <si>
    <t>t-complex 1 [Source:ZFIN;Acc:ZDB-GENE-990714-24]</t>
  </si>
  <si>
    <t>tcp1</t>
  </si>
  <si>
    <t>ENSDARG00000017891</t>
  </si>
  <si>
    <t>acidic (leucine-rich) nuclear phosphoprotein 32 family, member B [Source:ZFIN;Acc:ZDB-GENE-030131-719]</t>
  </si>
  <si>
    <t>anp32b</t>
  </si>
  <si>
    <t>ENSDARG00000023330</t>
  </si>
  <si>
    <t>tubulin, alpha 8 like 4 [Source:ZFIN;Acc:ZDB-GENE-040426-860]</t>
  </si>
  <si>
    <t>tuba8l4</t>
  </si>
  <si>
    <t>ENSDARG00000006260</t>
  </si>
  <si>
    <t>myeloma overexpressed 2 [Source:ZFIN;Acc:ZDB-GENE-040426-1883]</t>
  </si>
  <si>
    <t>myeov2</t>
  </si>
  <si>
    <t>ENSDARG00000045296</t>
  </si>
  <si>
    <t>MID1 interacting protein 1b [Source:ZFIN;Acc:ZDB-GENE-040426-1720]</t>
  </si>
  <si>
    <t>mid1ip1b</t>
  </si>
  <si>
    <t>ENSDARG00000019302</t>
  </si>
  <si>
    <t>si:ch211-288g17.3 [Source:ZFIN;Acc:ZDB-GENE-030131-461]</t>
  </si>
  <si>
    <t>si:ch211-288g17.3</t>
  </si>
  <si>
    <t>ENSDARG00000070959</t>
  </si>
  <si>
    <t>zinc finger protein 536 [Source:ZFIN;Acc:ZDB-GENE-030616-624]</t>
  </si>
  <si>
    <t>znf536</t>
  </si>
  <si>
    <t>ENSDARG00000103648</t>
  </si>
  <si>
    <t>bystin-like [Source:ZFIN;Acc:ZDB-GENE-040426-1287]</t>
  </si>
  <si>
    <t>bysl</t>
  </si>
  <si>
    <t>ENSDARG00000001057</t>
  </si>
  <si>
    <t>zgc:110796 [Source:ZFIN;Acc:ZDB-GENE-050306-36]</t>
  </si>
  <si>
    <t>MSI1</t>
  </si>
  <si>
    <t>ENSDARG00000041299</t>
  </si>
  <si>
    <t>MSI1.1</t>
  </si>
  <si>
    <t>heterogeneous nuclear ribonucleoprotein A0, like [Source:ZFIN;Acc:ZDB-GENE-030131-618]</t>
  </si>
  <si>
    <t>hnrnpa0l</t>
  </si>
  <si>
    <t>ENSDARG00000036161</t>
  </si>
  <si>
    <t>minichromosome maintenance complex component 5 [Source:ZFIN;Acc:ZDB-GENE-021209-1]</t>
  </si>
  <si>
    <t>mcm5</t>
  </si>
  <si>
    <t>ENSDARG00000019507</t>
  </si>
  <si>
    <t>si:ch211-94l19.4 [Source:ZFIN;Acc:ZDB-GENE-130531-15]</t>
  </si>
  <si>
    <t>MYO1D</t>
  </si>
  <si>
    <t>ENSDARG00000036863</t>
  </si>
  <si>
    <t>solute carrier family 3 (amino acid transporter heavy chain), member 2b [Source:ZFIN;Acc:ZDB-GENE-040122-2]</t>
  </si>
  <si>
    <t>slc3a2b</t>
  </si>
  <si>
    <t>ENSDARG00000037012</t>
  </si>
  <si>
    <t>si:dkeyp-67f1.1 [Source:ZFIN;Acc:ZDB-GENE-131127-559]</t>
  </si>
  <si>
    <t>si:dkeyp-67f1.1</t>
  </si>
  <si>
    <t>ENSDARG00000096954</t>
  </si>
  <si>
    <t>mediator complex subunit 10 [Source:ZFIN;Acc:ZDB-GENE-070117-2423]</t>
  </si>
  <si>
    <t>med10</t>
  </si>
  <si>
    <t>ENSDARG00000070623</t>
  </si>
  <si>
    <t>serine incorporator 5 [Source:ZFIN;Acc:ZDB-GENE-040426-2918]</t>
  </si>
  <si>
    <t>serinc5</t>
  </si>
  <si>
    <t>ENSDARG00000008153</t>
  </si>
  <si>
    <t>serine/arginine-rich splicing factor 10b [Source:ZFIN;Acc:ZDB-GENE-040426-1415]</t>
  </si>
  <si>
    <t>srsf10b</t>
  </si>
  <si>
    <t>ENSDARG00000086411</t>
  </si>
  <si>
    <t>COP9 constitutive photomorphogenic homolog subunit 4 (Arabidopsis) [Source:ZFIN;Acc:ZDB-GENE-030131-4317]</t>
  </si>
  <si>
    <t>cops4</t>
  </si>
  <si>
    <t>ENSDARG00000043732</t>
  </si>
  <si>
    <t>LIM domain only 4b [Source:ZFIN;Acc:ZDB-GENE-030131-3570]</t>
  </si>
  <si>
    <t>lmo4b</t>
  </si>
  <si>
    <t>ENSDARG00000054749</t>
  </si>
  <si>
    <t>TAF11 RNA polymerase II, TATA box binding protein (TBP)-associated factor [Source:ZFIN;Acc:ZDB-GENE-040718-283]</t>
  </si>
  <si>
    <t>taf11</t>
  </si>
  <si>
    <t>ENSDARG00000037855</t>
  </si>
  <si>
    <t>related RAS viral (r-ras) oncogene homolog [Source:ZFIN;Acc:ZDB-GENE-041010-217]</t>
  </si>
  <si>
    <t>rras</t>
  </si>
  <si>
    <t>ENSDARG00000006553</t>
  </si>
  <si>
    <t>BTB (POZ) domain containing 10b [Source:ZFIN;Acc:ZDB-GENE-080104-5]</t>
  </si>
  <si>
    <t>btbd10b</t>
  </si>
  <si>
    <t>ENSDARG00000020252</t>
  </si>
  <si>
    <t>ubiquilin 4 [Source:ZFIN;Acc:ZDB-GENE-030131-6269]</t>
  </si>
  <si>
    <t>ubqln4</t>
  </si>
  <si>
    <t>ENSDARG00000052975</t>
  </si>
  <si>
    <t>crooked neck pre-mRNA splicing factor 1 [Source:ZFIN;Acc:ZDB-GENE-040426-694]</t>
  </si>
  <si>
    <t>crnkl1</t>
  </si>
  <si>
    <t>ENSDARG00000007901</t>
  </si>
  <si>
    <t>importin 7 [Source:ZFIN;Acc:ZDB-GENE-030131-458]</t>
  </si>
  <si>
    <t>ipo7</t>
  </si>
  <si>
    <t>ENSDARG00000035751</t>
  </si>
  <si>
    <t>nucleophosmin 1a (nucleolar phosphoprotein B23, numatrin) [Source:ZFIN;Acc:ZDB-GENE-021028-1]</t>
  </si>
  <si>
    <t>npm1a</t>
  </si>
  <si>
    <t>ENSDARG00000014329</t>
  </si>
  <si>
    <t>zgc:101785 [Source:ZFIN;Acc:ZDB-GENE-041010-152]</t>
  </si>
  <si>
    <t>zgc:101785</t>
  </si>
  <si>
    <t>ENSDARG00000100104</t>
  </si>
  <si>
    <t>Alport syndrome, mental retardation, midface hypoplasia and elliptocytosis chromosomal region gene 1 homolog (human) [Source:ZFIN;Acc:ZDB-GENE-040426-1533]</t>
  </si>
  <si>
    <t>ammecr1</t>
  </si>
  <si>
    <t>ENSDARG00000012892</t>
  </si>
  <si>
    <t>actin-like 6A [Source:ZFIN;Acc:ZDB-GENE-020419-36]</t>
  </si>
  <si>
    <t>actl6a</t>
  </si>
  <si>
    <t>ENSDARG00000070828</t>
  </si>
  <si>
    <t>enhancer of polycomb homolog 1 (Drosophila) a [Source:ZFIN;Acc:ZDB-GENE-070629-5]</t>
  </si>
  <si>
    <t>epc1a</t>
  </si>
  <si>
    <t>ENSDARG00000101579</t>
  </si>
  <si>
    <t>platelet-derived growth factor alpha polypeptide a [Source:ZFIN;Acc:ZDB-GENE-030918-2]</t>
  </si>
  <si>
    <t>pdgfaa</t>
  </si>
  <si>
    <t>ENSDARG00000055505</t>
  </si>
  <si>
    <t>nuclear receptor subfamily 1, group D, member 2a [Source:ZFIN;Acc:ZDB-GENE-040504-1]</t>
  </si>
  <si>
    <t>nr1d2a</t>
  </si>
  <si>
    <t>ENSDARG00000003820</t>
  </si>
  <si>
    <t>zgc:153929 [Source:ZFIN;Acc:ZDB-GENE-061103-154]</t>
  </si>
  <si>
    <t>CCDC64B</t>
  </si>
  <si>
    <t>ENSDARG00000052427</t>
  </si>
  <si>
    <t>family with sequence similarity 83, member E [Source:ZFIN;Acc:ZDB-GENE-141215-21]</t>
  </si>
  <si>
    <t>fam83e</t>
  </si>
  <si>
    <t>ENSDARG00000089489</t>
  </si>
  <si>
    <t>heterogeneous nuclear ribonucleoprotein R [Source:ZFIN;Acc:ZDB-GENE-040426-2766]</t>
  </si>
  <si>
    <t>hnrnpr</t>
  </si>
  <si>
    <t>ENSDARG00000014569</t>
  </si>
  <si>
    <t>septin 8a [Source:ZFIN;Acc:ZDB-GENE-030131-309]</t>
  </si>
  <si>
    <t>sept8a</t>
  </si>
  <si>
    <t>ENSDARG00000032606</t>
  </si>
  <si>
    <t>activin A receptor, type IBa [Source:ZFIN;Acc:ZDB-GENE-980526-527]</t>
  </si>
  <si>
    <t>acvr1ba</t>
  </si>
  <si>
    <t>ENSDARG00000018968</t>
  </si>
  <si>
    <t>transcription factor 7-like 1a (T-cell specific, HMG-box) [Source:ZFIN;Acc:ZDB-GENE-980605-30]</t>
  </si>
  <si>
    <t>tcf7l1a</t>
  </si>
  <si>
    <t>ENSDARG00000038159</t>
  </si>
  <si>
    <t>si:ch211-216l23.2 [Source:ZFIN;Acc:ZDB-GENE-030131-3806]</t>
  </si>
  <si>
    <t>si:ch211-216l23.2</t>
  </si>
  <si>
    <t>ENSDARG00000069122</t>
  </si>
  <si>
    <t>interleukin enhancer binding factor 3a [Source:ZFIN;Acc:ZDB-GENE-030131-3151]</t>
  </si>
  <si>
    <t>ilf3a</t>
  </si>
  <si>
    <t>ENSDARG00000058660</t>
  </si>
  <si>
    <t>protein tyrosine phosphatase, non-receptor type 2, b [Source:ZFIN;Acc:ZDB-GENE-030909-8]</t>
  </si>
  <si>
    <t>ptpn2b</t>
  </si>
  <si>
    <t>ENSDARG00000035986</t>
  </si>
  <si>
    <t>SEH1-like (S. cerevisiae) [Source:ZFIN;Acc:ZDB-GENE-030131-6689]</t>
  </si>
  <si>
    <t>seh1l</t>
  </si>
  <si>
    <t>ENSDARG00000004280</t>
  </si>
  <si>
    <t>v-maf avian musculoaponeurotic fibrosarcoma oncogene homolog F [Source:ZFIN;Acc:ZDB-GENE-040426-1280]</t>
  </si>
  <si>
    <t>maff</t>
  </si>
  <si>
    <t>ENSDARG00000028957</t>
  </si>
  <si>
    <t>protein kinase, cAMP-dependent, regulatory, type II, alpha A [Source:ZFIN;Acc:ZDB-GENE-030131-1007]</t>
  </si>
  <si>
    <t>prkar2aa</t>
  </si>
  <si>
    <t>ENSDARG00000033184</t>
  </si>
  <si>
    <t>translocase of inner mitochondrial membrane 13 homolog (yeast) [Source:ZFIN;Acc:ZDB-GENE-040718-167]</t>
  </si>
  <si>
    <t>timm13</t>
  </si>
  <si>
    <t>ENSDARG00000058297</t>
  </si>
  <si>
    <t>CABZ01064859.1</t>
  </si>
  <si>
    <t>ENSDARG00000099331</t>
  </si>
  <si>
    <t>MAP kinase interacting serine/threonine kinase 2b [Source:ZFIN;Acc:ZDB-GENE-030829-2]</t>
  </si>
  <si>
    <t>mknk2b</t>
  </si>
  <si>
    <t>ENSDARG00000015164</t>
  </si>
  <si>
    <t>N(alpha)-acetyltransferase 10, NatA catalytic subunit [Source:ZFIN;Acc:ZDB-GENE-040426-2648]</t>
  </si>
  <si>
    <t>naa10</t>
  </si>
  <si>
    <t>ENSDARG00000071060</t>
  </si>
  <si>
    <t>ubiquinol-cytochrome c reductase hinge protein [Source:ZFIN;Acc:ZDB-GENE-051030-93]</t>
  </si>
  <si>
    <t>uqcrh</t>
  </si>
  <si>
    <t>ENSDARG00000059128</t>
  </si>
  <si>
    <t>fibrillarin [Source:ZFIN;Acc:ZDB-GENE-040426-1936]</t>
  </si>
  <si>
    <t>fbl</t>
  </si>
  <si>
    <t>ENSDARG00000053912</t>
  </si>
  <si>
    <t>protein kinase C, iota [Source:ZFIN;Acc:ZDB-GENE-011105-1]</t>
  </si>
  <si>
    <t>prkci</t>
  </si>
  <si>
    <t>ENSDARG00000021225</t>
  </si>
  <si>
    <t>polypyrimidine tract binding protein 1a [Source:ZFIN;Acc:ZDB-GENE-050522-492]</t>
  </si>
  <si>
    <t>ptbp1a</t>
  </si>
  <si>
    <t>ENSDARG00000019362</t>
  </si>
  <si>
    <t>calnexin [Source:ZFIN;Acc:ZDB-GENE-040426-2797]</t>
  </si>
  <si>
    <t>canx</t>
  </si>
  <si>
    <t>ENSDARG00000037488</t>
  </si>
  <si>
    <t>NADH dehydrogenase (ubiquinone) 1 alpha subcomplex, 1 [Source:ZFIN;Acc:ZDB-GENE-040625-168]</t>
  </si>
  <si>
    <t>ndufa1</t>
  </si>
  <si>
    <t>ENSDARG00000036329</t>
  </si>
  <si>
    <t>proteasome subunit beta 1 [Source:ZFIN;Acc:ZDB-GENE-040618-2]</t>
  </si>
  <si>
    <t>psmb1</t>
  </si>
  <si>
    <t>ENSDARG00000009640</t>
  </si>
  <si>
    <t>mitochondrial ribosomal protein L47 [Source:ZFIN;Acc:ZDB-GENE-030219-177]</t>
  </si>
  <si>
    <t>mrpl47</t>
  </si>
  <si>
    <t>ENSDARG00000075743</t>
  </si>
  <si>
    <t>glucocorticoid induced 1 [Source:ZFIN;Acc:ZDB-GENE-031010-41]</t>
  </si>
  <si>
    <t>glcci1</t>
  </si>
  <si>
    <t>ENSDARG00000008503</t>
  </si>
  <si>
    <t>gamma-glutamyl carboxylase [Source:ZFIN;Acc:ZDB-GENE-030826-27]</t>
  </si>
  <si>
    <t>ggcx</t>
  </si>
  <si>
    <t>ENSDARG00000067805</t>
  </si>
  <si>
    <t>inhibin, beta B [Source:ZFIN;Acc:ZDB-GENE-990415-2]</t>
  </si>
  <si>
    <t>inhbb</t>
  </si>
  <si>
    <t>ENSDARG00000040777</t>
  </si>
  <si>
    <t>LON peptidase N-terminal domain and ring finger 1, like [Source:ZFIN;Acc:ZDB-GENE-081104-397]</t>
  </si>
  <si>
    <t>lonrf1l</t>
  </si>
  <si>
    <t>ENSDARG00000078567</t>
  </si>
  <si>
    <t>fatty acid binding protein 2, intestinal [Source:ZFIN;Acc:ZDB-GENE-991019-5]</t>
  </si>
  <si>
    <t>fabp2</t>
  </si>
  <si>
    <t>ENSDARG00000006427</t>
  </si>
  <si>
    <t>TSR2, 20S rRNA accumulation, homolog (S. cerevisiae) [Source:ZFIN;Acc:ZDB-GENE-021231-2]</t>
  </si>
  <si>
    <t>tsr2</t>
  </si>
  <si>
    <t>ENSDARG00000005772</t>
  </si>
  <si>
    <t>polynucleotide kinase 3'-phosphatase [Source:ZFIN;Acc:ZDB-GENE-061013-433]</t>
  </si>
  <si>
    <t>pnkp</t>
  </si>
  <si>
    <t>ENSDARG00000100455</t>
  </si>
  <si>
    <t>ubiquitin-conjugating enzyme E2D 2 (UBC4/5 homolog, yeast) [Source:ZFIN;Acc:ZDB-GENE-120312-1]</t>
  </si>
  <si>
    <t>ube2d2</t>
  </si>
  <si>
    <t>ENSDARG00000043484</t>
  </si>
  <si>
    <t>tyrosine 3-monooxygenase/tryptophan 5-monooxygenase activation protein, beta polypeptide a [Source:ZFIN;Acc:ZDB-GENE-030131-6583]</t>
  </si>
  <si>
    <t>ywhaba</t>
  </si>
  <si>
    <t>ENSDARG00000013078</t>
  </si>
  <si>
    <t>stonin 2 [Source:ZFIN;Acc:ZDB-GENE-050913-137]</t>
  </si>
  <si>
    <t>ston2</t>
  </si>
  <si>
    <t>ENSDARG00000057452</t>
  </si>
  <si>
    <t>programmed cell death 6 [Source:ZFIN;Acc:ZDB-GENE-040426-1307]</t>
  </si>
  <si>
    <t>pdcd6</t>
  </si>
  <si>
    <t>ENSDARG00000005220</t>
  </si>
  <si>
    <t>si:ch73-141c7.1 [Source:ZFIN;Acc:ZDB-GENE-040426-1760]</t>
  </si>
  <si>
    <t>si:ch73-141c7.1</t>
  </si>
  <si>
    <t>ENSDARG00000009040</t>
  </si>
  <si>
    <t>zinc finger, AN1-type domain 5a [Source:ZFIN;Acc:ZDB-GENE-040426-1979]</t>
  </si>
  <si>
    <t>zfand5a</t>
  </si>
  <si>
    <t>ENSDARG00000018898</t>
  </si>
  <si>
    <t>zgc:85777 [Source:ZFIN;Acc:ZDB-GENE-040426-2210]</t>
  </si>
  <si>
    <t>zgc:85777</t>
  </si>
  <si>
    <t>ENSDARG00000027009</t>
  </si>
  <si>
    <t>CWC25 spliceosome-associated protein homolog (S. cerevisiae) [Source:ZFIN;Acc:ZDB-GENE-040426-2817]</t>
  </si>
  <si>
    <t>cwc25</t>
  </si>
  <si>
    <t>ENSDARG00000003382</t>
  </si>
  <si>
    <t>apelin receptor early endogenous ligand [Source:ZFIN;Acc:ZDB-GENE-090313-116]</t>
  </si>
  <si>
    <t>apela</t>
  </si>
  <si>
    <t>ENSDARG00000094729</t>
  </si>
  <si>
    <t>LIM domain only 1 [Source:ZFIN;Acc:ZDB-GENE-021115-6]</t>
  </si>
  <si>
    <t>lmo1</t>
  </si>
  <si>
    <t>ENSDARG00000034504</t>
  </si>
  <si>
    <t>carbonic anhydrase VII [Source:ZFIN;Acc:ZDB-GENE-040426-1786]</t>
  </si>
  <si>
    <t>ca7</t>
  </si>
  <si>
    <t>ENSDARG00000045139</t>
  </si>
  <si>
    <t>cadherin 2, type 1, N-cadherin (neuronal) [Source:ZFIN;Acc:ZDB-GENE-990415-171]</t>
  </si>
  <si>
    <t>cdh2</t>
  </si>
  <si>
    <t>ENSDARG00000018693</t>
  </si>
  <si>
    <t>COX14 cytochrome c oxidase assembly factor [Source:ZFIN;Acc:ZDB-GENE-060503-626]</t>
  </si>
  <si>
    <t>cox14</t>
  </si>
  <si>
    <t>ENSDARG00000092124</t>
  </si>
  <si>
    <t>muscle segment homeobox 2b [Source:ZFIN;Acc:ZDB-GENE-980526-492]</t>
  </si>
  <si>
    <t>msx2b</t>
  </si>
  <si>
    <t>ENSDARG00000101023</t>
  </si>
  <si>
    <t>si:dkey-28b4.7 [Source:ZFIN;Acc:ZDB-GENE-050506-118]</t>
  </si>
  <si>
    <t>POLD4</t>
  </si>
  <si>
    <t>ENSDARG00000079632</t>
  </si>
  <si>
    <t>NADH dehydrogenase 3, mitochondrial [Source:ZFIN;Acc:ZDB-GENE-011205-9]</t>
  </si>
  <si>
    <t>mt-nd3</t>
  </si>
  <si>
    <t>ENSDARG00000063914</t>
  </si>
  <si>
    <t>chromobox homolog 7a [Source:ZFIN;Acc:ZDB-GENE-050417-400]</t>
  </si>
  <si>
    <t>cbx7a</t>
  </si>
  <si>
    <t>ENSDARG00000038025</t>
  </si>
  <si>
    <t>zinc finger and BTB domain containing 8 opposite strand [Source:ZFIN;Acc:ZDB-GENE-050417-176]</t>
  </si>
  <si>
    <t>zbtb8os</t>
  </si>
  <si>
    <t>ENSDARG00000016368</t>
  </si>
  <si>
    <t>UDP-N-acetyl-alpha-D-galactosamine:polypeptide N-acetylgalactosaminyltransferase 2 [Source:ZFIN;Acc:ZDB-GENE-041111-110]</t>
  </si>
  <si>
    <t>galnt2</t>
  </si>
  <si>
    <t>ENSDARG00000003829</t>
  </si>
  <si>
    <t>fizzy/cell division cycle 20 related 1a [Source:ZFIN;Acc:ZDB-GENE-040426-712]</t>
  </si>
  <si>
    <t>fzr1a</t>
  </si>
  <si>
    <t>ENSDARG00000015254</t>
  </si>
  <si>
    <t>si:dkey-33m11.6 [Source:ZFIN;Acc:ZDB-GENE-141216-479]</t>
  </si>
  <si>
    <t>CAMK2N1</t>
  </si>
  <si>
    <t>ENSDARG00000101387</t>
  </si>
  <si>
    <t>valosin containing protein [Source:ZFIN;Acc:ZDB-GENE-030131-5408]</t>
  </si>
  <si>
    <t>vcp</t>
  </si>
  <si>
    <t>ENSDARG00000020008</t>
  </si>
  <si>
    <t>lipase, member Ia [Source:ZFIN;Acc:ZDB-GENE-040801-242]</t>
  </si>
  <si>
    <t>lipia</t>
  </si>
  <si>
    <t>ENSDARG00000007108</t>
  </si>
  <si>
    <t>ATPase, H+ transporting, lysosomal V0 subunit b [Source:ZFIN;Acc:ZDB-GENE-030131-443]</t>
  </si>
  <si>
    <t>atp6v0b</t>
  </si>
  <si>
    <t>ENSDARG00000031681</t>
  </si>
  <si>
    <t>si:ch211-122m3.1 [Source:ZFIN;Acc:ZDB-GENE-091113-51]</t>
  </si>
  <si>
    <t>CNTNAP3</t>
  </si>
  <si>
    <t>ENSDARG00000067824</t>
  </si>
  <si>
    <t>selenophosphate synthetase 2 [Source:ZFIN;Acc:ZDB-GENE-030327-5]</t>
  </si>
  <si>
    <t>sps2</t>
  </si>
  <si>
    <t>ENSDARG00000017659</t>
  </si>
  <si>
    <t>GRAM domain containing 2 [Source:HGNC Symbol;Acc:HGNC:27287]</t>
  </si>
  <si>
    <t>GRAMD2</t>
  </si>
  <si>
    <t>ENSDARG00000103736</t>
  </si>
  <si>
    <t>RNA binding motif protein 25b [Source:ZFIN;Acc:ZDB-GENE-030131-5547]</t>
  </si>
  <si>
    <t>rbm25b</t>
  </si>
  <si>
    <t>ENSDARG00000006395</t>
  </si>
  <si>
    <t>ubiquitin-fold modifier conjugating enzyme 1 [Source:ZFIN;Acc:ZDB-GENE-040801-268]</t>
  </si>
  <si>
    <t>ufc1</t>
  </si>
  <si>
    <t>ENSDARG00000022340</t>
  </si>
  <si>
    <t>general transcription factor IIH, polypeptide 5 [Source:ZFIN;Acc:ZDB-GENE-041001-144]</t>
  </si>
  <si>
    <t>gtf2h5</t>
  </si>
  <si>
    <t>ENSDARG00000056099</t>
  </si>
  <si>
    <t>bone morphogenetic protein 5 [Source:ZFIN;Acc:ZDB-GENE-040426-1413]</t>
  </si>
  <si>
    <t>bmp5</t>
  </si>
  <si>
    <t>ENSDARG00000101701</t>
  </si>
  <si>
    <t>CABZ01032488.1</t>
  </si>
  <si>
    <t>ENSDARG00000099154</t>
  </si>
  <si>
    <t>phosphoinositide-3-kinase, regulatory subunit 1 (alpha) [Source:ZFIN;Acc:ZDB-GENE-030131-1280]</t>
  </si>
  <si>
    <t>pik3r1</t>
  </si>
  <si>
    <t>ENSDARG00000038524</t>
  </si>
  <si>
    <t>sterol regulatory element binding transcription factor 2 [Source:ZFIN;Acc:ZDB-GENE-070410-8]</t>
  </si>
  <si>
    <t>srebf2</t>
  </si>
  <si>
    <t>ENSDARG00000063438</t>
  </si>
  <si>
    <t>StAR-related lipid transfer (START) domain containing 13b [Source:ZFIN;Acc:ZDB-GENE-050506-146]</t>
  </si>
  <si>
    <t>stard13b</t>
  </si>
  <si>
    <t>ENSDARG00000098954</t>
  </si>
  <si>
    <t>si:rp71-45k5.4 [Source:ZFIN;Acc:ZDB-GENE-060503-941]</t>
  </si>
  <si>
    <t>si:rp71-45k5.4</t>
  </si>
  <si>
    <t>ENSDARG00000035679</t>
  </si>
  <si>
    <t>thioredoxin interacting protein a [Source:ZFIN;Acc:ZDB-GENE-030804-10]</t>
  </si>
  <si>
    <t>txnipa</t>
  </si>
  <si>
    <t>ENSDARG00000036107</t>
  </si>
  <si>
    <t>trafficking protein particle complex 5 [Source:ZFIN;Acc:ZDB-GENE-040718-185]</t>
  </si>
  <si>
    <t>trappc5</t>
  </si>
  <si>
    <t>ENSDARG00000026068</t>
  </si>
  <si>
    <t>ATP-binding cassette, sub-family F (GCN20), member 1 [Source:ZFIN;Acc:ZDB-GENE-050517-31]</t>
  </si>
  <si>
    <t>abcf1</t>
  </si>
  <si>
    <t>ENSDARG00000031795</t>
  </si>
  <si>
    <t>coatomer protein complex, subunit beta 2 [Source:ZFIN;Acc:ZDB-GENE-010724-7]</t>
  </si>
  <si>
    <t>copb2</t>
  </si>
  <si>
    <t>ENSDARG00000038743</t>
  </si>
  <si>
    <t>N-myc and STAT interactor [Source:HGNC Symbol;Acc:HGNC:7854]</t>
  </si>
  <si>
    <t>NMI</t>
  </si>
  <si>
    <t>ENSDARG00000100275</t>
  </si>
  <si>
    <t>tumor protein p63 regulated 1 [Source:ZFIN;Acc:ZDB-GENE-070410-113]</t>
  </si>
  <si>
    <t>tprg1</t>
  </si>
  <si>
    <t>ENSDARG00000056026</t>
  </si>
  <si>
    <t>zgc:162939 [Source:ZFIN;Acc:ZDB-GENE-070410-115]</t>
  </si>
  <si>
    <t>zgc:162939</t>
  </si>
  <si>
    <t>ENSDARG00000068461</t>
  </si>
  <si>
    <t>non-specific cytotoxic cell receptor protein 1 [Source:ZFIN;Acc:ZDB-GENE-000210-13]</t>
  </si>
  <si>
    <t>nccrp1</t>
  </si>
  <si>
    <t>ENSDARG00000035326</t>
  </si>
  <si>
    <t>SUN domain containing ossification factor [Source:ZFIN;Acc:ZDB-GENE-030131-2941]</t>
  </si>
  <si>
    <t>suco</t>
  </si>
  <si>
    <t>ENSDARG00000016532</t>
  </si>
  <si>
    <t>GTPase activating protein (SH3 domain) binding protein 2 [Source:ZFIN;Acc:ZDB-GENE-070112-1972]</t>
  </si>
  <si>
    <t>g3bp2</t>
  </si>
  <si>
    <t>ENSDARG00000014790</t>
  </si>
  <si>
    <t>death inducer-obliterator 1 [Source:ZFIN;Acc:ZDB-GENE-030131-6117]</t>
  </si>
  <si>
    <t>dido1</t>
  </si>
  <si>
    <t>ENSDARG00000057940</t>
  </si>
  <si>
    <t>transformer 2 alpha homolog (Drosophila) [Source:ZFIN;Acc:ZDB-GENE-040426-1391]</t>
  </si>
  <si>
    <t>tra2a</t>
  </si>
  <si>
    <t>ENSDARG00000007863</t>
  </si>
  <si>
    <t>Sec61 translocon alpha 1 subunit [Source:ZFIN;Acc:ZDB-GENE-020418-2]</t>
  </si>
  <si>
    <t>sec61a1</t>
  </si>
  <si>
    <t>ENSDARG00000021669</t>
  </si>
  <si>
    <t>RNA binding motif protein 5 [Source:ZFIN;Acc:ZDB-GENE-030131-3022]</t>
  </si>
  <si>
    <t>rbm5</t>
  </si>
  <si>
    <t>ENSDARG00000098280</t>
  </si>
  <si>
    <t>CCR4-NOT transcription complex, subunit 6a [Source:ZFIN;Acc:ZDB-GENE-030131-2768]</t>
  </si>
  <si>
    <t>cnot6a</t>
  </si>
  <si>
    <t>ENSDARG00000008255</t>
  </si>
  <si>
    <t>ring finger protein 144B [Source:ZFIN;Acc:ZDB-GENE-040426-1292]</t>
  </si>
  <si>
    <t>rnf144b</t>
  </si>
  <si>
    <t>ENSDARG00000024940</t>
  </si>
  <si>
    <t>ubiquitin specific peptidase 10 [Source:ZFIN;Acc:ZDB-GENE-030219-132]</t>
  </si>
  <si>
    <t>usp10</t>
  </si>
  <si>
    <t>ENSDARG00000103422</t>
  </si>
  <si>
    <t>caspase 3, apoptosis-related cysteine peptidase a [Source:ZFIN;Acc:ZDB-GENE-011210-1]</t>
  </si>
  <si>
    <t>casp3a</t>
  </si>
  <si>
    <t>ENSDARG00000017905</t>
  </si>
  <si>
    <t>histocompatibility (minor) 13 [Source:ZFIN;Acc:ZDB-GENE-020802-3]</t>
  </si>
  <si>
    <t>hm13</t>
  </si>
  <si>
    <t>ENSDARG00000037846</t>
  </si>
  <si>
    <t>THO complex 2 [Source:ZFIN;Acc:ZDB-GENE-030616-54]</t>
  </si>
  <si>
    <t>thoc2</t>
  </si>
  <si>
    <t>ENSDARG00000037503</t>
  </si>
  <si>
    <t>SUB1 homolog, transcriptional regulator a [Source:ZFIN;Acc:ZDB-GENE-050522-151]</t>
  </si>
  <si>
    <t>sub1a</t>
  </si>
  <si>
    <t>ENSDARG00000053446</t>
  </si>
  <si>
    <t>small nuclear ribonucleoprotein 40 (U5) [Source:ZFIN;Acc:ZDB-GENE-040426-978]</t>
  </si>
  <si>
    <t>snrnp40</t>
  </si>
  <si>
    <t>ENSDARG00000023160</t>
  </si>
  <si>
    <t>ribosomal protein L14 [Source:ZFIN;Acc:ZDB-GENE-030131-2085]</t>
  </si>
  <si>
    <t>rpl14</t>
  </si>
  <si>
    <t>ENSDARG00000103433</t>
  </si>
  <si>
    <t>ubiquitin-conjugating enzyme E2G 1b (UBC7 homolog, yeast) [Source:ZFIN;Acc:ZDB-GENE-040426-2939]</t>
  </si>
  <si>
    <t>ube2g1b</t>
  </si>
  <si>
    <t>ENSDARG00000069527</t>
  </si>
  <si>
    <t>si:dkey-33c12.4 [Source:ZFIN;Acc:ZDB-GENE-030131-2527]</t>
  </si>
  <si>
    <t>TTC31</t>
  </si>
  <si>
    <t>ENSDARG00000057890</t>
  </si>
  <si>
    <t>RNA binding motif protein 28 [Source:ZFIN;Acc:ZDB-GENE-040426-960]</t>
  </si>
  <si>
    <t>rbm28</t>
  </si>
  <si>
    <t>ENSDARG00000025332</t>
  </si>
  <si>
    <t>lysyl-tRNA synthetase [Source:ZFIN;Acc:ZDB-GENE-021115-8]</t>
  </si>
  <si>
    <t>kars</t>
  </si>
  <si>
    <t>ENSDARG00000103799</t>
  </si>
  <si>
    <t>Cbp/p300-interacting transactivator, with Glu/Asp-rich carboxy-terminal domain, 4a [Source:ZFIN;Acc:ZDB-GENE-030131-7661]</t>
  </si>
  <si>
    <t>cited4a</t>
  </si>
  <si>
    <t>ENSDARG00000035990</t>
  </si>
  <si>
    <t>PIN2/TERF1 interacting, telomerase inhibitor 1 [Source:ZFIN;Acc:ZDB-GENE-030515-2]</t>
  </si>
  <si>
    <t>pinx1</t>
  </si>
  <si>
    <t>ENSDARG00000023532</t>
  </si>
  <si>
    <t>lysine (K)-specific methyltransferase 2Ca [Source:ZFIN;Acc:ZDB-GENE-080520-3]</t>
  </si>
  <si>
    <t>kmt2ca</t>
  </si>
  <si>
    <t>ENSDARG00000079312</t>
  </si>
  <si>
    <t>serine/arginine repetitive matrix 1 [Source:ZFIN;Acc:ZDB-GENE-040426-2789]</t>
  </si>
  <si>
    <t>srrm1</t>
  </si>
  <si>
    <t>ENSDARG00000001244</t>
  </si>
  <si>
    <t>regulator of chromosome condensation 2 [Source:ZFIN;Acc:ZDB-GENE-040426-2213]</t>
  </si>
  <si>
    <t>rcc2</t>
  </si>
  <si>
    <t>ENSDARG00000011510</t>
  </si>
  <si>
    <t>histidine triad nucleotide binding protein 2 [Source:HGNC Symbol;Acc:HGNC:18344]</t>
  </si>
  <si>
    <t>HINT2</t>
  </si>
  <si>
    <t>ENSDARG00000102915</t>
  </si>
  <si>
    <t>death effector domain-containing 1 [Source:ZFIN;Acc:ZDB-GENE-000616-2]</t>
  </si>
  <si>
    <t>dedd1</t>
  </si>
  <si>
    <t>ENSDARG00000002758</t>
  </si>
  <si>
    <t>activating transcription factor 7 interacting protein [Source:ZFIN;Acc:ZDB-GENE-061103-178]</t>
  </si>
  <si>
    <t>atf7ip</t>
  </si>
  <si>
    <t>ENSDARG00000069619</t>
  </si>
  <si>
    <t>adenylate kinase 2 [Source:ZFIN;Acc:ZDB-GENE-030131-512]</t>
  </si>
  <si>
    <t>ak2</t>
  </si>
  <si>
    <t>ENSDARG00000005926</t>
  </si>
  <si>
    <t>intraflagellar transport 20 homolog (Chlamydomonas) [Source:ZFIN;Acc:ZDB-GENE-040614-2]</t>
  </si>
  <si>
    <t>ift20</t>
  </si>
  <si>
    <t>ENSDARG00000040556</t>
  </si>
  <si>
    <t>SEC22 homolog B, vesicle trafficking protein b [Source:ZFIN;Acc:ZDB-GENE-030131-5488]</t>
  </si>
  <si>
    <t>sec22bb</t>
  </si>
  <si>
    <t>ENSDARG00000100435</t>
  </si>
  <si>
    <t>FK506 binding protein 5 [Source:ZFIN;Acc:ZDB-GENE-030616-630]</t>
  </si>
  <si>
    <t>fkbp5</t>
  </si>
  <si>
    <t>ENSDARG00000028396</t>
  </si>
  <si>
    <t>coatomer protein complex, subunit gamma 2 [Source:ZFIN;Acc:ZDB-GENE-000208-8]</t>
  </si>
  <si>
    <t>copg2</t>
  </si>
  <si>
    <t>ENSDARG00000034823</t>
  </si>
  <si>
    <t>si:ch211-147a11.3 [Source:ZFIN;Acc:ZDB-GENE-060503-102]</t>
  </si>
  <si>
    <t>si:ch211-147a11.3</t>
  </si>
  <si>
    <t>ENSDARG00000069009</t>
  </si>
  <si>
    <t>centrosomal protein 131 [Source:ZFIN;Acc:ZDB-GENE-090508-16]</t>
  </si>
  <si>
    <t>cep131</t>
  </si>
  <si>
    <t>ENSDARG00000088984</t>
  </si>
  <si>
    <t>thyroid hormone receptor interactor 11 [Source:ZFIN;Acc:ZDB-GENE-030131-9833]</t>
  </si>
  <si>
    <t>trip11</t>
  </si>
  <si>
    <t>ENSDARG00000078381</t>
  </si>
  <si>
    <t>SPT6 homolog, histone chaperone [Source:ZFIN;Acc:ZDB-GENE-030131-7949]</t>
  </si>
  <si>
    <t>supt6h</t>
  </si>
  <si>
    <t>ENSDARG00000006524</t>
  </si>
  <si>
    <t>ER degradation enhancer, mannosidase alpha-like 1 [Source:ZFIN;Acc:ZDB-GENE-040426-808]</t>
  </si>
  <si>
    <t>edem1</t>
  </si>
  <si>
    <t>ENSDARG00000025094</t>
  </si>
  <si>
    <t>NCK adaptor protein 2a [Source:ZFIN;Acc:ZDB-GENE-040426-686]</t>
  </si>
  <si>
    <t>nck2a</t>
  </si>
  <si>
    <t>ENSDARG00000018206</t>
  </si>
  <si>
    <t>ethanolamine kinase 1 [Source:ZFIN;Acc:ZDB-GENE-030328-21]</t>
  </si>
  <si>
    <t>etnk1</t>
  </si>
  <si>
    <t>ENSDARG00000019420</t>
  </si>
  <si>
    <t>dehydrogenase/reductase (SDR family) member 2 [Source:ZFIN;Acc:ZDB-GENE-040426-1498]</t>
  </si>
  <si>
    <t>dhrs2</t>
  </si>
  <si>
    <t>ENSDARG00000021135</t>
  </si>
  <si>
    <t>transmembrane p24 trafficking protein 1b [Source:ZFIN;Acc:ZDB-GENE-070112-1112]</t>
  </si>
  <si>
    <t>tmed1b</t>
  </si>
  <si>
    <t>ENSDARG00000017255</t>
  </si>
  <si>
    <t>RTF1 homolog, Paf1/RNA polymerase II complex component [Source:ZFIN;Acc:ZDB-GENE-030131-6778]</t>
  </si>
  <si>
    <t>rtf1</t>
  </si>
  <si>
    <t>ENSDARG00000008947</t>
  </si>
  <si>
    <t>CTD (carboxy-terminal domain, RNA polymerase II, polypeptide A) small phosphatase like 2a [Source:ZFIN;Acc:ZDB-GENE-061013-647]</t>
  </si>
  <si>
    <t>ctdspl2a</t>
  </si>
  <si>
    <t>ENSDARG00000061587</t>
  </si>
  <si>
    <t>peptidylprolyl isomerase G (cyclophilin G) [Source:ZFIN;Acc:ZDB-GENE-040426-2822]</t>
  </si>
  <si>
    <t>ppig</t>
  </si>
  <si>
    <t>ENSDARG00000044431</t>
  </si>
  <si>
    <t>N-terminal asparagine amidase [Source:ZFIN;Acc:ZDB-GENE-040426-1896]</t>
  </si>
  <si>
    <t>ntan1</t>
  </si>
  <si>
    <t>ENSDARG00000105182</t>
  </si>
  <si>
    <t>v-ski avian sarcoma viral oncogene homolog a [Source:ZFIN;Acc:ZDB-GENE-990715-9]</t>
  </si>
  <si>
    <t>skia</t>
  </si>
  <si>
    <t>ENSDARG00000042151</t>
  </si>
  <si>
    <t>fragile X mental retardation, autosomal homolog 1 [Source:ZFIN;Acc:ZDB-GENE-030131-5431]</t>
  </si>
  <si>
    <t>fxr1</t>
  </si>
  <si>
    <t>ENSDARG00000022968</t>
  </si>
  <si>
    <t>RWD domain containing 1 [Source:ZFIN;Acc:ZDB-GENE-040718-270]</t>
  </si>
  <si>
    <t>rwdd1</t>
  </si>
  <si>
    <t>ENSDARG00000015930</t>
  </si>
  <si>
    <t>acetyl-CoA acyltransferase 1 [Source:ZFIN;Acc:ZDB-GENE-040704-48]</t>
  </si>
  <si>
    <t>acaa1</t>
  </si>
  <si>
    <t>ENSDARG00000004687</t>
  </si>
  <si>
    <t>immediate early response 5-like [Source:ZFIN;Acc:ZDB-GENE-030131-5134]</t>
  </si>
  <si>
    <t>ier5l</t>
  </si>
  <si>
    <t>ENSDARG00000054906</t>
  </si>
  <si>
    <t>desmoplakin a [Source:ZFIN;Acc:ZDB-GENE-030131-2743]</t>
  </si>
  <si>
    <t>dspa</t>
  </si>
  <si>
    <t>ENSDARG00000022309</t>
  </si>
  <si>
    <t>integral membrane protein 2Ba [Source:ZFIN;Acc:ZDB-GENE-030131-2352]</t>
  </si>
  <si>
    <t>itm2ba</t>
  </si>
  <si>
    <t>ENSDARG00000007098</t>
  </si>
  <si>
    <t>VAMP (vesicle-associated membrane protein)-associated protein A, like [Source:ZFIN;Acc:ZDB-GENE-040718-281]</t>
  </si>
  <si>
    <t>vapal</t>
  </si>
  <si>
    <t>ENSDARG00000046048</t>
  </si>
  <si>
    <t>B-cell CLL/lymphoma 11B (zinc finger protein) [Source:HGNC Symbol;Acc:HGNC:13222]</t>
  </si>
  <si>
    <t>BCL11B</t>
  </si>
  <si>
    <t>ENSDARG00000067727</t>
  </si>
  <si>
    <t>DnaJ (Hsp40) homolog, subfamily A, member 2 [Source:ZFIN;Acc:ZDB-GENE-040426-2884]</t>
  </si>
  <si>
    <t>dnaja2</t>
  </si>
  <si>
    <t>ENSDARG00000104066</t>
  </si>
  <si>
    <t>srsf3a</t>
  </si>
  <si>
    <t>ENSDARG00000102957</t>
  </si>
  <si>
    <t>dynein, light chain, LC8-type 2b [Source:ZFIN;Acc:ZDB-GENE-050320-132]</t>
  </si>
  <si>
    <t>dynll2b</t>
  </si>
  <si>
    <t>ENSDARG00000005172</t>
  </si>
  <si>
    <t>KDEL (Lys-Asp-Glu-Leu) endoplasmic reticulum protein retention receptor 3 [Source:ZFIN;Acc:ZDB-GENE-040426-1387]</t>
  </si>
  <si>
    <t>kdelr3</t>
  </si>
  <si>
    <t>ENSDARG00000040912</t>
  </si>
  <si>
    <t>palmitoyl-protein thioesterase 1 (ceroid-lipofuscinosis, neuronal 1, infantile) [Source:ZFIN;Acc:ZDB-GENE-040426-2653]</t>
  </si>
  <si>
    <t>ppt1</t>
  </si>
  <si>
    <t>ENSDARG00000039980</t>
  </si>
  <si>
    <t>fucosidase, alpha-L- 2, plasma [Source:ZFIN;Acc:ZDB-GENE-040822-39]</t>
  </si>
  <si>
    <t>fuca2</t>
  </si>
  <si>
    <t>ENSDARG00000044073</t>
  </si>
  <si>
    <t>tumor protein D52-like 2b [Source:ZFIN;Acc:ZDB-GENE-030131-822]</t>
  </si>
  <si>
    <t>tpd52l2b</t>
  </si>
  <si>
    <t>ENSDARG00000013655</t>
  </si>
  <si>
    <t>ARP2 actin-related protein 2a homolog (yeast) [Source:ZFIN;Acc:ZDB-GENE-040426-2894]</t>
  </si>
  <si>
    <t>actr2a</t>
  </si>
  <si>
    <t>ENSDARG00000052438</t>
  </si>
  <si>
    <t>eukaryotic translation initiation factor 4A1B [Source:ZFIN;Acc:ZDB-GENE-040120-6]</t>
  </si>
  <si>
    <t>eif4a1b</t>
  </si>
  <si>
    <t>ENSDARG00000003032</t>
  </si>
  <si>
    <t>c-myc binding protein [Source:ZFIN;Acc:ZDB-GENE-060331-97]</t>
  </si>
  <si>
    <t>mycbp</t>
  </si>
  <si>
    <t>ENSDARG00000091001</t>
  </si>
  <si>
    <t>RAB5C, member RAS oncogene family [Source:ZFIN;Acc:ZDB-GENE-031118-30]</t>
  </si>
  <si>
    <t>rab5c</t>
  </si>
  <si>
    <t>ENSDARG00000026712</t>
  </si>
  <si>
    <t>arrestin domain containing 1a [Source:ZFIN;Acc:ZDB-GENE-030925-15]</t>
  </si>
  <si>
    <t>arrdc1a</t>
  </si>
  <si>
    <t>ENSDARG00000068148</t>
  </si>
  <si>
    <t>TRAF2 and NCK interacting kinase a [Source:ZFIN;Acc:ZDB-GENE-030131-3767]</t>
  </si>
  <si>
    <t>tnika</t>
  </si>
  <si>
    <t>ENSDARG00000056218</t>
  </si>
  <si>
    <t>calcium regulated heat stable protein 1 [Source:ZFIN;Acc:ZDB-GENE-040426-1479]</t>
  </si>
  <si>
    <t>carhsp1</t>
  </si>
  <si>
    <t>ENSDARG00000053129</t>
  </si>
  <si>
    <t>NADH dehydrogenase (ubiquinone) 1 alpha subcomplex, 3 [Source:ZFIN;Acc:ZDB-GENE-040801-18]</t>
  </si>
  <si>
    <t>ndufa3</t>
  </si>
  <si>
    <t>ENSDARG00000041400</t>
  </si>
  <si>
    <t>atlastin 3 [Source:ZFIN;Acc:ZDB-GENE-041010-109]</t>
  </si>
  <si>
    <t>atl3</t>
  </si>
  <si>
    <t>ENSDARG00000004270</t>
  </si>
  <si>
    <t>proteasome subunit beta 3 [Source:ZFIN;Acc:ZDB-GENE-040426-2682]</t>
  </si>
  <si>
    <t>psmb3</t>
  </si>
  <si>
    <t>ENSDARG00000013938</t>
  </si>
  <si>
    <t>thioredoxin 2 [Source:ZFIN;Acc:ZDB-GENE-040426-1795]</t>
  </si>
  <si>
    <t>txn2</t>
  </si>
  <si>
    <t>ENSDARG00000034777</t>
  </si>
  <si>
    <t>cytochrome P450, family 3, subfamily c, polypeptide 1 [Source:ZFIN;Acc:ZDB-GENE-030131-3060]</t>
  </si>
  <si>
    <t>cyp3c1</t>
  </si>
  <si>
    <t>ENSDARG00000015575</t>
  </si>
  <si>
    <t>glutathione S-transferase kappa 1 [Source:ZFIN;Acc:ZDB-GENE-040718-298]</t>
  </si>
  <si>
    <t>gstk1</t>
  </si>
  <si>
    <t>ENSDARG00000056510</t>
  </si>
  <si>
    <t>ependymin-like 1 [Source:ZFIN;Acc:ZDB-GENE-090710-3]</t>
  </si>
  <si>
    <t>epdl1</t>
  </si>
  <si>
    <t>ENSDARG00000076386</t>
  </si>
  <si>
    <t>glucose-6-phosphate isomerase a [Source:ZFIN;Acc:ZDB-GENE-020513-2]</t>
  </si>
  <si>
    <t>gpia</t>
  </si>
  <si>
    <t>ENSDARG00000012987</t>
  </si>
  <si>
    <t>small integral membrane protein 14 [Source:ZFIN;Acc:ZDB-GENE-040426-22]</t>
  </si>
  <si>
    <t>smim14</t>
  </si>
  <si>
    <t>ENSDARG00000005799</t>
  </si>
  <si>
    <t>integral membrane protein 2Bb [Source:ZFIN;Acc:ZDB-GENE-040426-2139]</t>
  </si>
  <si>
    <t>itm2bb</t>
  </si>
  <si>
    <t>ENSDARG00000041505</t>
  </si>
  <si>
    <t>zinc finger protein 593 [Source:ZFIN;Acc:ZDB-GENE-040426-1789]</t>
  </si>
  <si>
    <t>znf593</t>
  </si>
  <si>
    <t>ENSDARG00000044102</t>
  </si>
  <si>
    <t>signal peptidase complex subunit 2 [Source:ZFIN;Acc:ZDB-GENE-050320-32]</t>
  </si>
  <si>
    <t>spcs2</t>
  </si>
  <si>
    <t>ENSDARG00000042823</t>
  </si>
  <si>
    <t>progesterone receptor membrane component 1 [Source:ZFIN;Acc:ZDB-GENE-041114-91]</t>
  </si>
  <si>
    <t>pgrmc1</t>
  </si>
  <si>
    <t>ENSDARG00000054172</t>
  </si>
  <si>
    <t>ubiquinol-cytochrome c reductase complex assembly factor 1 [Source:ZFIN;Acc:ZDB-GENE-060929-1034]</t>
  </si>
  <si>
    <t>uqcc1</t>
  </si>
  <si>
    <t>ENSDARG00000068176</t>
  </si>
  <si>
    <t>6-phosphofructo-2-kinase/fructose-2,6-biphosphatase 4b [Source:ZFIN;Acc:ZDB-GENE-031031-4]</t>
  </si>
  <si>
    <t>pfkfb4b</t>
  </si>
  <si>
    <t>ENSDARG00000029075</t>
  </si>
  <si>
    <t>septin 6 [Source:ZFIN;Acc:ZDB-GENE-030131-1414]</t>
  </si>
  <si>
    <t>sept6</t>
  </si>
  <si>
    <t>ENSDARG00000010721</t>
  </si>
  <si>
    <t>si:ch211-160e1.5 [Source:ZFIN;Acc:ZDB-GENE-070705-255]</t>
  </si>
  <si>
    <t>NUPR2</t>
  </si>
  <si>
    <t>ENSDARG00000094300</t>
  </si>
  <si>
    <t>VAMP (vesicle-associated membrane protein)-associated protein B and C [Source:ZFIN;Acc:ZDB-GENE-030131-2348]</t>
  </si>
  <si>
    <t>vapb</t>
  </si>
  <si>
    <t>ENSDARG00000070435</t>
  </si>
  <si>
    <t>immediate early response 3 interacting protein 1 [Source:ZFIN;Acc:ZDB-GENE-050506-106]</t>
  </si>
  <si>
    <t>ier3ip1</t>
  </si>
  <si>
    <t>ENSDARG00000039601</t>
  </si>
  <si>
    <t>troponin T2d, cardiac [Source:ZFIN;Acc:ZDB-GENE-050626-97]</t>
  </si>
  <si>
    <t>tnnt2d</t>
  </si>
  <si>
    <t>ENSDARG00000002988</t>
  </si>
  <si>
    <t>si:ch211-222k6.3 [Source:ZFIN;Acc:ZDB-GENE-050208-567]</t>
  </si>
  <si>
    <t>si:ch211-222k6.3</t>
  </si>
  <si>
    <t>ENSDARG00000071578</t>
  </si>
  <si>
    <t>staufen double-stranded RNA binding protein 1 [Source:ZFIN;Acc:ZDB-GENE-030131-6372]</t>
  </si>
  <si>
    <t>stau1</t>
  </si>
  <si>
    <t>ENSDARG00000044182</t>
  </si>
  <si>
    <t>adenine phosphoribosyltransferase [Source:ZFIN;Acc:ZDB-GENE-040426-1492]</t>
  </si>
  <si>
    <t>aprt</t>
  </si>
  <si>
    <t>ENSDARG00000003519</t>
  </si>
  <si>
    <t>membrane magnesium transporter 1 [Source:ZFIN;Acc:ZDB-GENE-040801-65]</t>
  </si>
  <si>
    <t>mmgt1</t>
  </si>
  <si>
    <t>ENSDARG00000010553</t>
  </si>
  <si>
    <t>prefoldin subunit 1 [Source:ZFIN;Acc:ZDB-GENE-050306-50]</t>
  </si>
  <si>
    <t>pfdn1</t>
  </si>
  <si>
    <t>ENSDARG00000014536</t>
  </si>
  <si>
    <t>neurocalcin delta b [Source:ZFIN;Acc:ZDB-GENE-040808-37]</t>
  </si>
  <si>
    <t>ncaldb</t>
  </si>
  <si>
    <t>ENSDARG00000011334</t>
  </si>
  <si>
    <t>N-acetyltransferase 9 (GCN5-related, putative) [Source:ZFIN;Acc:ZDB-GENE-030131-5097]</t>
  </si>
  <si>
    <t>nat9</t>
  </si>
  <si>
    <t>ENSDARG00000071425</t>
  </si>
  <si>
    <t>protein phosphatase 6, catalytic subunit [Source:ZFIN;Acc:ZDB-GENE-040426-949]</t>
  </si>
  <si>
    <t>ppp6c</t>
  </si>
  <si>
    <t>ENSDARG00000002949</t>
  </si>
  <si>
    <t>lysophosphatidic acid receptor 3 [Source:ZFIN;Acc:ZDB-GENE-120202-1]</t>
  </si>
  <si>
    <t>lpar3</t>
  </si>
  <si>
    <t>ENSDARG00000101814</t>
  </si>
  <si>
    <t>tRNA selenocysteine 1 associated protein 1b [Source:ZFIN;Acc:ZDB-GENE-040426-2386]</t>
  </si>
  <si>
    <t>trnau1apb</t>
  </si>
  <si>
    <t>ENSDARG00000056475</t>
  </si>
  <si>
    <t>phosphoinositide-3-kinase, regulatory subunit 3b (gamma) [Source:ZFIN;Acc:ZDB-GENE-040426-743]</t>
  </si>
  <si>
    <t>pik3r3b</t>
  </si>
  <si>
    <t>ENSDARG00000034409</t>
  </si>
  <si>
    <t>notch 1a [Source:ZFIN;Acc:ZDB-GENE-990415-173]</t>
  </si>
  <si>
    <t>notch1a</t>
  </si>
  <si>
    <t>ENSDARG00000103554</t>
  </si>
  <si>
    <t>mahogunin, ring finger 1a [Source:ZFIN;Acc:ZDB-GENE-030131-6192]</t>
  </si>
  <si>
    <t>mgrn1a</t>
  </si>
  <si>
    <t>ENSDARG00000100072</t>
  </si>
  <si>
    <t>nuclear receptor coactivator 5 [Source:ZFIN;Acc:ZDB-GENE-040912-155]</t>
  </si>
  <si>
    <t>ncoa5</t>
  </si>
  <si>
    <t>ENSDARG00000016345</t>
  </si>
  <si>
    <t>endoplasmic reticulum protein 44 [Source:ZFIN;Acc:ZDB-GENE-040426-1902]</t>
  </si>
  <si>
    <t>erp44</t>
  </si>
  <si>
    <t>ENSDARG00000019008</t>
  </si>
  <si>
    <t>N-acetyltransferase 10 [Source:ZFIN;Acc:ZDB-GENE-040426-1543]</t>
  </si>
  <si>
    <t>nat10</t>
  </si>
  <si>
    <t>ENSDARG00000054259</t>
  </si>
  <si>
    <t>host cell factor C1b [Source:ZFIN;Acc:ZDB-GENE-030131-2411]</t>
  </si>
  <si>
    <t>hcfc1b</t>
  </si>
  <si>
    <t>ENSDARG00000012519</t>
  </si>
  <si>
    <t>aminoacyl tRNA synthetase complex-interacting multifunctional protein 1 [Source:ZFIN;Acc:ZDB-GENE-060825-144]</t>
  </si>
  <si>
    <t>aimp1</t>
  </si>
  <si>
    <t>ENSDARG00000060036</t>
  </si>
  <si>
    <t>lysine-rich nucleolar protein 1 [Source:ZFIN;Acc:ZDB-GENE-090313-76]</t>
  </si>
  <si>
    <t>knop1</t>
  </si>
  <si>
    <t>ENSDARG00000077721</t>
  </si>
  <si>
    <t>acyl-CoA dehydrogenase, long chain [Source:ZFIN;Acc:ZDB-GENE-040426-771]</t>
  </si>
  <si>
    <t>acadl</t>
  </si>
  <si>
    <t>ENSDARG00000088357</t>
  </si>
  <si>
    <t>ribonuclease P/MRP 14 subunit [Source:ZFIN;Acc:ZDB-GENE-050522-182]</t>
  </si>
  <si>
    <t>rpp14</t>
  </si>
  <si>
    <t>ENSDARG00000011152</t>
  </si>
  <si>
    <t>SR-related CTD-associated factor 4a [Source:ZFIN;Acc:ZDB-GENE-030131-9003]</t>
  </si>
  <si>
    <t>scaf4a</t>
  </si>
  <si>
    <t>ENSDARG00000077093</t>
  </si>
  <si>
    <t>LLP homolog, long-term synaptic facilitation (Aplysia) [Source:ZFIN;Acc:ZDB-GENE-051030-30]</t>
  </si>
  <si>
    <t>llph</t>
  </si>
  <si>
    <t>ENSDARG00000055360</t>
  </si>
  <si>
    <t>kinesin family member 22 [Source:ZFIN;Acc:ZDB-GENE-080204-34]</t>
  </si>
  <si>
    <t>kif22</t>
  </si>
  <si>
    <t>ENSDARG00000102624</t>
  </si>
  <si>
    <t>alpha thalassemia/mental retardation syndrome X-linked homolog (human) [Source:ZFIN;Acc:ZDB-GENE-030912-11]</t>
  </si>
  <si>
    <t>atrx</t>
  </si>
  <si>
    <t>ENSDARG00000042236</t>
  </si>
  <si>
    <t>heat shock 60 protein 1 [Source:ZFIN;Acc:ZDB-GENE-021206-1]</t>
  </si>
  <si>
    <t>hspd1</t>
  </si>
  <si>
    <t>ENSDARG00000056160</t>
  </si>
  <si>
    <t>dihydrouridine synthase 3-like (S. cerevisiae) [Source:ZFIN;Acc:ZDB-GENE-040426-1260]</t>
  </si>
  <si>
    <t>dus3l</t>
  </si>
  <si>
    <t>ENSDARG00000099528</t>
  </si>
  <si>
    <t>nucleoporin 85 [Source:ZFIN;Acc:ZDB-GENE-040801-145]</t>
  </si>
  <si>
    <t>nup85</t>
  </si>
  <si>
    <t>ENSDARG00000098679</t>
  </si>
  <si>
    <t>M-phase phosphoprotein 10 (U3 small nucleolar ribonucleoprotein) [Source:ZFIN;Acc:ZDB-GENE-030131-2146]</t>
  </si>
  <si>
    <t>mphosph10</t>
  </si>
  <si>
    <t>ENSDARG00000012495</t>
  </si>
  <si>
    <t>mitochondrial ribosomal protein L12 [Source:ZFIN;Acc:ZDB-GENE-050417-187]</t>
  </si>
  <si>
    <t>mrpl12</t>
  </si>
  <si>
    <t>ENSDARG00000038768</t>
  </si>
  <si>
    <t>si:ch1073-219n12.1 [Source:ZFIN;Acc:ZDB-GENE-091204-412]</t>
  </si>
  <si>
    <t>si:ch1073-219n12.1</t>
  </si>
  <si>
    <t>ENSDARG00000063580</t>
  </si>
  <si>
    <t>inositol polyphosphate-5-phosphatase B [Source:ZFIN;Acc:ZDB-GENE-110411-228]</t>
  </si>
  <si>
    <t>inpp5b</t>
  </si>
  <si>
    <t>ENSDARG00000103683</t>
  </si>
  <si>
    <t>origin recognition complex, subunit 2 [Source:ZFIN;Acc:ZDB-GENE-061013-682]</t>
  </si>
  <si>
    <t>orc2</t>
  </si>
  <si>
    <t>ENSDARG00000101465</t>
  </si>
  <si>
    <t>ATP-binding cassette, sub-family D (ALD), member 4 [Source:ZFIN;Acc:ZDB-GENE-050517-30]</t>
  </si>
  <si>
    <t>abcd4</t>
  </si>
  <si>
    <t>ENSDARG00000061770</t>
  </si>
  <si>
    <t>mitochondrial ribosomal protein S21 [Source:ZFIN;Acc:ZDB-GENE-070615-13]</t>
  </si>
  <si>
    <t>mrps21</t>
  </si>
  <si>
    <t>ENSDARG00000070985</t>
  </si>
  <si>
    <t>O-sialoglycoprotein endopeptidase [Source:ZFIN;Acc:ZDB-GENE-030131-7880]</t>
  </si>
  <si>
    <t>osgep</t>
  </si>
  <si>
    <t>ENSDARG00000045846</t>
  </si>
  <si>
    <t>pseudouridylate synthase 7 (putative) [Source:ZFIN;Acc:ZDB-GENE-060620-1]</t>
  </si>
  <si>
    <t>pus7</t>
  </si>
  <si>
    <t>ENSDARG00000031774</t>
  </si>
  <si>
    <t>coiled-coil domain containing 137 [Source:ZFIN;Acc:ZDB-GENE-060929-1206]</t>
  </si>
  <si>
    <t>ccdc137</t>
  </si>
  <si>
    <t>ENSDARG00000104024</t>
  </si>
  <si>
    <t>NADH dehydrogenase (ubiquinone) 1, alpha/beta subcomplex, 1b [Source:ZFIN;Acc:ZDB-GENE-030131-4437]</t>
  </si>
  <si>
    <t>ndufab1b</t>
  </si>
  <si>
    <t>ENSDARG00000014915</t>
  </si>
  <si>
    <t>replication factor C (activator 1) 2 [Source:ZFIN;Acc:ZDB-GENE-050306-29]</t>
  </si>
  <si>
    <t>rfc2</t>
  </si>
  <si>
    <t>ENSDARG00000014274</t>
  </si>
  <si>
    <t>dynein, light chain, LC8-type 2a [Source:ZFIN;Acc:ZDB-GENE-030828-11]</t>
  </si>
  <si>
    <t>dynll2a</t>
  </si>
  <si>
    <t>ENSDARG00000069790</t>
  </si>
  <si>
    <t>coiled-coil domain containing 25 [Source:ZFIN;Acc:ZDB-GENE-040426-1389]</t>
  </si>
  <si>
    <t>ccdc25</t>
  </si>
  <si>
    <t>ENSDARG00000021753</t>
  </si>
  <si>
    <t>polymerase (DNA directed), alpha 1 [Source:ZFIN;Acc:ZDB-GENE-030114-9]</t>
  </si>
  <si>
    <t>pola1</t>
  </si>
  <si>
    <t>ENSDARG00000045308</t>
  </si>
  <si>
    <t>NOP2/Sun RNA methyltransferase family, member 2 [Source:ZFIN;Acc:ZDB-GENE-030131-4017]</t>
  </si>
  <si>
    <t>nsun2</t>
  </si>
  <si>
    <t>ENSDARG00000056665</t>
  </si>
  <si>
    <t>CABZ01066926.1</t>
  </si>
  <si>
    <t>ENSDARG00000099534</t>
  </si>
  <si>
    <t>bromodomain adjacent to zinc finger domain, 1B [Source:ZFIN;Acc:ZDB-GENE-010328-16]</t>
  </si>
  <si>
    <t>baz1b</t>
  </si>
  <si>
    <t>ENSDARG00000102832</t>
  </si>
  <si>
    <t>DEAD (Asp-Glu-Ala-Asp) box polypeptide 27 [Source:ZFIN;Acc:ZDB-GENE-031001-8]</t>
  </si>
  <si>
    <t>ddx27</t>
  </si>
  <si>
    <t>ENSDARG00000091831</t>
  </si>
  <si>
    <t>ATPase, Ca++ transporting, plasma membrane 4 [Source:ZFIN;Acc:ZDB-GENE-061027-60]</t>
  </si>
  <si>
    <t>atp2b4</t>
  </si>
  <si>
    <t>ENSDARG00000044902</t>
  </si>
  <si>
    <t>cell division cycle associated 7b [Source:ZFIN;Acc:ZDB-GENE-030131-607]</t>
  </si>
  <si>
    <t>cdca7b</t>
  </si>
  <si>
    <t>ENSDARG00000076659</t>
  </si>
  <si>
    <t>pyrroline-5-carboxylate reductase 1b [Source:ZFIN;Acc:ZDB-GENE-050522-26]</t>
  </si>
  <si>
    <t>pycr1b</t>
  </si>
  <si>
    <t>ENSDARG00000098639</t>
  </si>
  <si>
    <t>SPT16 homolog, facilitates chromatin remodeling subunit [Source:ZFIN;Acc:ZDB-GENE-031118-96]</t>
  </si>
  <si>
    <t>supt16h</t>
  </si>
  <si>
    <t>ENSDARG00000079949</t>
  </si>
  <si>
    <t>REST corepressor 1 [Source:ZFIN;Acc:ZDB-GENE-050506-79]</t>
  </si>
  <si>
    <t>rcor1</t>
  </si>
  <si>
    <t>ENSDARG00000031434</t>
  </si>
  <si>
    <t>ER membrane protein complex subunit 1 [Source:ZFIN;Acc:ZDB-GENE-060810-98]</t>
  </si>
  <si>
    <t>emc1</t>
  </si>
  <si>
    <t>ENSDARG00000057255</t>
  </si>
  <si>
    <t>ribonuclease H2, subunit C [Source:ZFIN;Acc:ZDB-GENE-030131-2469]</t>
  </si>
  <si>
    <t>rnaseh2c</t>
  </si>
  <si>
    <t>ENSDARG00000089637</t>
  </si>
  <si>
    <t>RAN binding protein 1 [Source:ZFIN;Acc:ZDB-GENE-040426-2548]</t>
  </si>
  <si>
    <t>ranbp1</t>
  </si>
  <si>
    <t>ENSDARG00000014817</t>
  </si>
  <si>
    <t>geminin, DNA replication inhibitor [Source:ZFIN;Acc:ZDB-GENE-030429-30]</t>
  </si>
  <si>
    <t>gmnn</t>
  </si>
  <si>
    <t>ENSDARG00000035957</t>
  </si>
  <si>
    <t>cyclin-dependent kinase 2 [Source:ZFIN;Acc:ZDB-GENE-040426-2741]</t>
  </si>
  <si>
    <t>cdk2</t>
  </si>
  <si>
    <t>ENSDARG00000026577</t>
  </si>
  <si>
    <t>chromobox homolog 5 (HP1 alpha homolog, Drosophila) [Source:ZFIN;Acc:ZDB-GENE-030131-5553]</t>
  </si>
  <si>
    <t>cbx5</t>
  </si>
  <si>
    <t>ENSDARG00000061187</t>
  </si>
  <si>
    <t>replication protein A1 [Source:ZFIN;Acc:ZDB-GENE-030912-3]</t>
  </si>
  <si>
    <t>rpa1</t>
  </si>
  <si>
    <t>ENSDARG00000003938</t>
  </si>
  <si>
    <t>minichromosome maintenance complex binding protein [Source:ZFIN;Acc:ZDB-GENE-030131-9676]</t>
  </si>
  <si>
    <t>mcmbp</t>
  </si>
  <si>
    <t>ENSDARG00000055314</t>
  </si>
  <si>
    <t>cyclin-dependent kinase inhibitor 1Cb [Source:ZFIN;Acc:ZDB-GENE-131127-286]</t>
  </si>
  <si>
    <t>cdkn1cb</t>
  </si>
  <si>
    <t>ENSDARG00000104903</t>
  </si>
  <si>
    <t>adenylosuccinate synthase, like [Source:ZFIN;Acc:ZDB-GENE-020419-28]</t>
  </si>
  <si>
    <t>adssl</t>
  </si>
  <si>
    <t>ENSDARG00000012399</t>
  </si>
  <si>
    <t>si:dkey-12j5.1 [Source:ZFIN;Acc:ZDB-GENE-100922-71]</t>
  </si>
  <si>
    <t>si:dkey-12j5.1</t>
  </si>
  <si>
    <t>ENSDARG00000089480</t>
  </si>
  <si>
    <t>primase, DNA, polypeptide 2 [Source:ZFIN;Acc:ZDB-GENE-050522-471]</t>
  </si>
  <si>
    <t>prim2</t>
  </si>
  <si>
    <t>ENSDARG00000052721</t>
  </si>
  <si>
    <t>DNA (cytosine-5-)-methyltransferase 1 [Source:ZFIN;Acc:ZDB-GENE-990714-15]</t>
  </si>
  <si>
    <t>dnmt1</t>
  </si>
  <si>
    <t>ENSDARG00000030756</t>
  </si>
  <si>
    <t>dyskeratosis congenita 1, dyskerin [Source:ZFIN;Acc:ZDB-GENE-031118-120]</t>
  </si>
  <si>
    <t>dkc1</t>
  </si>
  <si>
    <t>ENSDARG00000016484</t>
  </si>
  <si>
    <t>mutS homolog 2 (E. coli) [Source:ZFIN;Acc:ZDB-GENE-040426-2932]</t>
  </si>
  <si>
    <t>msh2</t>
  </si>
  <si>
    <t>ENSDARG00000018022</t>
  </si>
  <si>
    <t>ribonuclease H2, subunit A [Source:ZFIN;Acc:ZDB-GENE-040426-976]</t>
  </si>
  <si>
    <t>rnaseh2a</t>
  </si>
  <si>
    <t>ENSDARG00000018891</t>
  </si>
  <si>
    <t>minichromosome maintenance complex component 4 [Source:ZFIN;Acc:ZDB-GENE-030131-9544]</t>
  </si>
  <si>
    <t>mcm4</t>
  </si>
  <si>
    <t>ENSDARG00000040041</t>
  </si>
  <si>
    <t>selenoprotein H [Source:ZFIN;Acc:ZDB-GENE-030411-2]</t>
  </si>
  <si>
    <t>seph</t>
  </si>
  <si>
    <t>ENSDARG00000093022</t>
  </si>
  <si>
    <t>HIRA interacting protein 3 [Source:ZFIN;Acc:ZDB-GENE-030131-5753]</t>
  </si>
  <si>
    <t>hirip3</t>
  </si>
  <si>
    <t>ENSDARG00000027749</t>
  </si>
  <si>
    <t>annexin A13, like [Source:ZFIN;Acc:ZDB-GENE-050522-310]</t>
  </si>
  <si>
    <t>anxa13l</t>
  </si>
  <si>
    <t>ENSDARG00000013613</t>
  </si>
  <si>
    <t>SSU72 homolog, RNA polymerase II CTD phosphatase [Source:ZFIN;Acc:ZDB-GENE-040426-1689]</t>
  </si>
  <si>
    <t>ssu72</t>
  </si>
  <si>
    <t>ENSDARG00000031216</t>
  </si>
  <si>
    <t>small integral membrane protein 7 [Source:ZFIN;Acc:ZDB-GENE-060810-180]</t>
  </si>
  <si>
    <t>smim7</t>
  </si>
  <si>
    <t>ENSDARG00000074848</t>
  </si>
  <si>
    <t>proteasome 26S subunit, non-ATPase 13 [Source:ZFIN;Acc:ZDB-GENE-040426-1004]</t>
  </si>
  <si>
    <t>psmd13</t>
  </si>
  <si>
    <t>ENSDARG00000016239</t>
  </si>
  <si>
    <t>BSD domain containing 1 [Source:ZFIN;Acc:ZDB-GENE-040905-1]</t>
  </si>
  <si>
    <t>bsdc1</t>
  </si>
  <si>
    <t>ENSDARG00000052623</t>
  </si>
  <si>
    <t>si:ch211-191a24.4 [Source:ZFIN;Acc:ZDB-GENE-030131-4489]</t>
  </si>
  <si>
    <t>MARVELD3</t>
  </si>
  <si>
    <t>ENSDARG00000037528</t>
  </si>
  <si>
    <t>annexin A5b [Source:ZFIN;Acc:ZDB-GENE-030131-9076]</t>
  </si>
  <si>
    <t>anxa5b</t>
  </si>
  <si>
    <t>ENSDARG00000016470</t>
  </si>
  <si>
    <t>sorting nexin 3 [Source:ZFIN;Acc:ZDB-GENE-030131-921]</t>
  </si>
  <si>
    <t>snx3</t>
  </si>
  <si>
    <t>ENSDARG00000008678</t>
  </si>
  <si>
    <t>zgc:91908 [Source:ZFIN;Acc:ZDB-GENE-040704-17]</t>
  </si>
  <si>
    <t>TMEM30B</t>
  </si>
  <si>
    <t>ENSDARG00000054122</t>
  </si>
  <si>
    <t>lipoma HMGIC fusion partner [Source:ZFIN;Acc:ZDB-GENE-041212-82]</t>
  </si>
  <si>
    <t>lhfp</t>
  </si>
  <si>
    <t>ENSDARG00000004363</t>
  </si>
  <si>
    <t>keratin type 1 c19e [Source:ZFIN;Acc:ZDB-GENE-050506-95]</t>
  </si>
  <si>
    <t>krtt1c19e</t>
  </si>
  <si>
    <t>ENSDARG00000090268</t>
  </si>
  <si>
    <t>Cbl proto-oncogene C, E3 ubiquitin protein ligase [Source:ZFIN;Acc:ZDB-GENE-080220-20]</t>
  </si>
  <si>
    <t>cblc</t>
  </si>
  <si>
    <t>ENSDARG00000078217</t>
  </si>
  <si>
    <t>small nuclear ribonucleoprotein 27 (U4/U6.U5) [Source:ZFIN;Acc:ZDB-GENE-040718-457]</t>
  </si>
  <si>
    <t>snrnp27</t>
  </si>
  <si>
    <t>ENSDARG00000035625</t>
  </si>
  <si>
    <t>protein tyrosine phosphatase type IVA, member 2a [Source:ZFIN;Acc:ZDB-GENE-040930-1]</t>
  </si>
  <si>
    <t>ptp4a2a</t>
  </si>
  <si>
    <t>ENSDARG00000087443</t>
  </si>
  <si>
    <t>biorientation of chromosomes in cell division 1 [Source:ZFIN;Acc:ZDB-GENE-060810-163]</t>
  </si>
  <si>
    <t>bod1</t>
  </si>
  <si>
    <t>ENSDARG00000103922</t>
  </si>
  <si>
    <t>cytokine receptor-like factor 3 [Source:ZFIN;Acc:ZDB-GENE-050417-354]</t>
  </si>
  <si>
    <t>crlf3</t>
  </si>
  <si>
    <t>ENSDARG00000070261</t>
  </si>
  <si>
    <t>si:ch211-271b14.1 [Source:ZFIN;Acc:ZDB-GENE-141212-386]</t>
  </si>
  <si>
    <t>si:ch211-271b14.1</t>
  </si>
  <si>
    <t>ENSDARG00000101808</t>
  </si>
  <si>
    <t>thioredoxin domain containing 12 (endoplasmic reticulum) [Source:ZFIN;Acc:ZDB-GENE-050522-497]</t>
  </si>
  <si>
    <t>txndc12</t>
  </si>
  <si>
    <t>ENSDARG00000038980</t>
  </si>
  <si>
    <t>zRAB1B, member RAS oncogene family a [Source:ZFIN;Acc:ZDB-GENE-040426-873]</t>
  </si>
  <si>
    <t>rab1ba</t>
  </si>
  <si>
    <t>ENSDARG00000058044</t>
  </si>
  <si>
    <t>charged multivesicular body protein 5b [Source:ZFIN;Acc:ZDB-GENE-040426-1374]</t>
  </si>
  <si>
    <t>chmp5b</t>
  </si>
  <si>
    <t>ENSDARG00000103718</t>
  </si>
  <si>
    <t>tetratricopeptide repeat domain 33 [Source:ZFIN;Acc:ZDB-GENE-040718-480]</t>
  </si>
  <si>
    <t>ttc33</t>
  </si>
  <si>
    <t>ENSDARG00000035406</t>
  </si>
  <si>
    <t>zinc finger protein 1035 [Source:ZFIN;Acc:ZDB-GENE-050309-241]</t>
  </si>
  <si>
    <t>znf1035</t>
  </si>
  <si>
    <t>ENSDARG00000042969</t>
  </si>
  <si>
    <t>phosphatidylserine decarboxylase [Source:ZFIN;Acc:ZDB-GENE-061215-46]</t>
  </si>
  <si>
    <t>pisd</t>
  </si>
  <si>
    <t>ENSDARG00000052462</t>
  </si>
  <si>
    <t>suppressor of variegation 4-20 homolog 1 (Drosophila) [Source:ZFIN;Acc:ZDB-GENE-041114-22]</t>
  </si>
  <si>
    <t>suv420h1</t>
  </si>
  <si>
    <t>ENSDARG00000041081</t>
  </si>
  <si>
    <t>LysM, putative peptidoglycan-binding, domain containing 3 [Source:ZFIN;Acc:ZDB-GENE-040625-88]</t>
  </si>
  <si>
    <t>lysmd3</t>
  </si>
  <si>
    <t>ENSDARG00000024693</t>
  </si>
  <si>
    <t>ENSDARG00000033009</t>
  </si>
  <si>
    <t>h3f3b.1.3</t>
  </si>
  <si>
    <t>adaptor-related protein complex 1, sigma 3 subunit, b [Source:ZFIN;Acc:ZDB-GENE-040912-62]</t>
  </si>
  <si>
    <t>ap1s3b</t>
  </si>
  <si>
    <t>ENSDARG00000027966</t>
  </si>
  <si>
    <t>si:ch211-197h24.6 [Source:ZFIN;Acc:ZDB-GENE-030131-1361]</t>
  </si>
  <si>
    <t>si:ch211-197h24.6</t>
  </si>
  <si>
    <t>ENSDARG00000091631</t>
  </si>
  <si>
    <t>proteasome subunit beta 4 [Source:ZFIN;Acc:ZDB-GENE-050417-333]</t>
  </si>
  <si>
    <t>psmb4</t>
  </si>
  <si>
    <t>ENSDARG00000054696</t>
  </si>
  <si>
    <t>Rho guanine nucleotide exchange factor (GEF) 19 [Source:ZFIN;Acc:ZDB-GENE-090313-243]</t>
  </si>
  <si>
    <t>arhgef19</t>
  </si>
  <si>
    <t>ENSDARG00000078853</t>
  </si>
  <si>
    <t>CD63 molecule [Source:ZFIN;Acc:ZDB-GENE-030131-180]</t>
  </si>
  <si>
    <t>cd63</t>
  </si>
  <si>
    <t>ENSDARG00000025147</t>
  </si>
  <si>
    <t>si:ch211-162e15.3 [Source:ZFIN;Acc:ZDB-GENE-131121-530]</t>
  </si>
  <si>
    <t>si:ch211-162e15.3</t>
  </si>
  <si>
    <t>ENSDARG00000104726</t>
  </si>
  <si>
    <t>adenosylhomocysteinase [Source:ZFIN;Acc:ZDB-GENE-031219-6]</t>
  </si>
  <si>
    <t>ahcy</t>
  </si>
  <si>
    <t>ENSDARG00000005191</t>
  </si>
  <si>
    <t>aspartate beta-hydroxylase [Source:ZFIN;Acc:ZDB-GENE-031112-5]</t>
  </si>
  <si>
    <t>asph</t>
  </si>
  <si>
    <t>ENSDARG00000055945</t>
  </si>
  <si>
    <t>Rho guanine nucleotide exchange factor (GEF) 10-like a [Source:ZFIN;Acc:ZDB-GENE-120814-1]</t>
  </si>
  <si>
    <t>arhgef10la</t>
  </si>
  <si>
    <t>ENSDARG00000088630</t>
  </si>
  <si>
    <t>wu:fb55g09 [Source:ZFIN;Acc:ZDB-GENE-030131-1009]</t>
  </si>
  <si>
    <t>wu:fb55g09</t>
  </si>
  <si>
    <t>ENSDARG00000088449</t>
  </si>
  <si>
    <t>peroxisome proliferator-activated receptor delta b [Source:ZFIN;Acc:ZDB-GENE-000112-47]</t>
  </si>
  <si>
    <t>ppardb</t>
  </si>
  <si>
    <t>ENSDARG00000009473</t>
  </si>
  <si>
    <t>interferon regulatory factor 2 [Source:ZFIN;Acc:ZDB-GENE-041212-38]</t>
  </si>
  <si>
    <t>irf2</t>
  </si>
  <si>
    <t>ENSDARG00000040465</t>
  </si>
  <si>
    <t>zgc:153409 [Source:ZFIN;Acc:ZDB-GENE-060929-224]</t>
  </si>
  <si>
    <t>zgc:153409</t>
  </si>
  <si>
    <t>ENSDARG00000061547</t>
  </si>
  <si>
    <t>si:ch211-196l7.4 [Source:ZFIN;Acc:ZDB-GENE-050419-122]</t>
  </si>
  <si>
    <t>si:ch211-196l7.4</t>
  </si>
  <si>
    <t>ENSDARG00000095451</t>
  </si>
  <si>
    <t>zinc finger CCHC-type and RNA binding motif 1 [Source:ZFIN;Acc:ZDB-GENE-041210-114]</t>
  </si>
  <si>
    <t>zcrb1</t>
  </si>
  <si>
    <t>ENSDARG00000045691</t>
  </si>
  <si>
    <t>H1 histone family, member 0 [Source:ZFIN;Acc:ZDB-GENE-030131-337]</t>
  </si>
  <si>
    <t>h1f0</t>
  </si>
  <si>
    <t>ENSDARG00000038559</t>
  </si>
  <si>
    <t>CASP8 and FADD-like apoptosis regulator a [Source:ZFIN;Acc:ZDB-GENE-030826-3]</t>
  </si>
  <si>
    <t>cflara</t>
  </si>
  <si>
    <t>ENSDARG00000055966</t>
  </si>
  <si>
    <t>polymerase (RNA) II (DNA directed) polypeptide J [Source:ZFIN;Acc:ZDB-GENE-050522-120]</t>
  </si>
  <si>
    <t>polr2j</t>
  </si>
  <si>
    <t>ENSDARG00000035146</t>
  </si>
  <si>
    <t>serine palmitoyltransferase, long chain base subunit 2b [Source:ZFIN;Acc:ZDB-GENE-080305-8]</t>
  </si>
  <si>
    <t>sptlc2b</t>
  </si>
  <si>
    <t>ENSDARG00000074287</t>
  </si>
  <si>
    <t>URI1, prefoldin-like chaperone [Source:ZFIN;Acc:ZDB-GENE-050913-30]</t>
  </si>
  <si>
    <t>uri1</t>
  </si>
  <si>
    <t>ENSDARG00000026664</t>
  </si>
  <si>
    <t>lysine (K)-specific demethylase 5C [Source:ZFIN;Acc:ZDB-GENE-060810-94]</t>
  </si>
  <si>
    <t>kdm5c</t>
  </si>
  <si>
    <t>ENSDARG00000006124</t>
  </si>
  <si>
    <t>histone H1 like [Source:ZFIN;Acc:ZDB-GENE-050417-145]</t>
  </si>
  <si>
    <t>histh1l</t>
  </si>
  <si>
    <t>ENSDARG00000035519</t>
  </si>
  <si>
    <t>TAF7 RNA polymerase II, TATA box binding protein (TBP)-associated factor [Source:ZFIN;Acc:ZDB-GENE-020419-18]</t>
  </si>
  <si>
    <t>taf7</t>
  </si>
  <si>
    <t>ENSDARG00000019572</t>
  </si>
  <si>
    <t>nucleic acid binding protein 1a [Source:ZFIN;Acc:ZDB-GENE-041212-71]</t>
  </si>
  <si>
    <t>nabp1a</t>
  </si>
  <si>
    <t>ENSDARG00000004692</t>
  </si>
  <si>
    <t>cytochrome c-1 [Source:ZFIN;Acc:ZDB-GENE-031105-2]</t>
  </si>
  <si>
    <t>cyc1</t>
  </si>
  <si>
    <t>ENSDARG00000038075</t>
  </si>
  <si>
    <t>dpy-30 histone methyltransferase complex regulatory subunit [Source:ZFIN;Acc:ZDB-GENE-040718-136]</t>
  </si>
  <si>
    <t>dpy30</t>
  </si>
  <si>
    <t>ENSDARG00000004427</t>
  </si>
  <si>
    <t>heterogeneous nuclear ribonucleoprotein D [Source:ZFIN;Acc:ZDB-GENE-070424-97]</t>
  </si>
  <si>
    <t>hnrnpd</t>
  </si>
  <si>
    <t>ENSDARG00000059246</t>
  </si>
  <si>
    <t>sema domain, immunoglobulin domain (Ig), transmembrane domain (TM) and short cytoplasmic domain, (semaphorin) 4C [Source:ZFIN;Acc:ZDB-GENE-080303-16]</t>
  </si>
  <si>
    <t>sema4c</t>
  </si>
  <si>
    <t>ENSDARG00000079611</t>
  </si>
  <si>
    <t>CTD (carboxy-terminal domain, RNA polymerase II, polypeptide A) small phosphatase-like a [Source:ZFIN;Acc:ZDB-GENE-060825-333]</t>
  </si>
  <si>
    <t>ctdspla</t>
  </si>
  <si>
    <t>ENSDARG00000071673</t>
  </si>
  <si>
    <t>transmembrane protein 50A [Source:ZFIN;Acc:ZDB-GENE-040426-2937]</t>
  </si>
  <si>
    <t>tmem50a</t>
  </si>
  <si>
    <t>ENSDARG00000015757</t>
  </si>
  <si>
    <t>proline rich 13 [Source:ZFIN;Acc:ZDB-GENE-080709-1]</t>
  </si>
  <si>
    <t>prr13</t>
  </si>
  <si>
    <t>ENSDARG00000086216</t>
  </si>
  <si>
    <t>si:rp71-1c23.3 [Source:ZFIN;Acc:ZDB-GENE-060526-381]</t>
  </si>
  <si>
    <t>GATC</t>
  </si>
  <si>
    <t>ENSDARG00000056855</t>
  </si>
  <si>
    <t>si:ch211-248e11.2 [Source:ZFIN;Acc:ZDB-GENE-081104-197]</t>
  </si>
  <si>
    <t>si:ch211-248e11.2</t>
  </si>
  <si>
    <t>ENSDARG00000058940</t>
  </si>
  <si>
    <t>proteasome 26S subunit, non-ATPase 8 [Source:ZFIN;Acc:ZDB-GENE-040625-136]</t>
  </si>
  <si>
    <t>psmd8</t>
  </si>
  <si>
    <t>ENSDARG00000020454</t>
  </si>
  <si>
    <t>signal peptidase complex subunit 3 [Source:ZFIN;Acc:ZDB-GENE-040426-2206]</t>
  </si>
  <si>
    <t>spcs3</t>
  </si>
  <si>
    <t>ENSDARG00000089976</t>
  </si>
  <si>
    <t>Sec61 translocon beta subunit [Source:ZFIN;Acc:ZDB-GENE-040718-260]</t>
  </si>
  <si>
    <t>sec61b</t>
  </si>
  <si>
    <t>ENSDARG00000076568</t>
  </si>
  <si>
    <t>type I cytokeratin, enveloping layer [Source:ZFIN;Acc:ZDB-GENE-991008-6]</t>
  </si>
  <si>
    <t>cyt1</t>
  </si>
  <si>
    <t>ENSDARG00000092947</t>
  </si>
  <si>
    <t>ENSDARG00000086842</t>
  </si>
  <si>
    <t>actin, beta 2 [Source:ZFIN;Acc:ZDB-GENE-000329-3]</t>
  </si>
  <si>
    <t>actb2</t>
  </si>
  <si>
    <t>ENSDARG00000037870</t>
  </si>
  <si>
    <t>H1 histone family, member X [Source:ZFIN;Acc:ZDB-GENE-030131-1228]</t>
  </si>
  <si>
    <t>h1fx</t>
  </si>
  <si>
    <t>ENSDARG00000054058</t>
  </si>
  <si>
    <t>http://zfin.org/ZDB-GENE-030131-6069</t>
  </si>
  <si>
    <t>cell division cycle 42, like [Source:ZFIN;Acc:ZDB-GENE-030131-6069]</t>
  </si>
  <si>
    <t>cdc42l</t>
  </si>
  <si>
    <t>ENSDARG00000040158</t>
  </si>
  <si>
    <t>http://zfin.org/ZDB-GENE-040426-2691</t>
  </si>
  <si>
    <t>motile sperm domain containing 1 [Source:ZFIN;Acc:ZDB-GENE-040426-2691]</t>
  </si>
  <si>
    <t>mospd1</t>
  </si>
  <si>
    <t>ENSDARG00000028614</t>
  </si>
  <si>
    <t>http://zfin.org/ZDB-GENE-060825-75</t>
  </si>
  <si>
    <t>mitochondrial ribosomal protein S14 [Source:ZFIN;Acc:ZDB-GENE-060825-75]</t>
  </si>
  <si>
    <t>mrps14</t>
  </si>
  <si>
    <t>ENSDARG00000068305</t>
  </si>
  <si>
    <t>http://zfin.org/ZDB-GENE-050320-35</t>
  </si>
  <si>
    <t>peroxiredoxin 1 [Source:ZFIN;Acc:ZDB-GENE-050320-35]</t>
  </si>
  <si>
    <t>prdx1</t>
  </si>
  <si>
    <t>ENSDARG00000058734</t>
  </si>
  <si>
    <t>http://zfin.org/ZDB-GENE-030131-2172</t>
  </si>
  <si>
    <t>methionyl aminopeptidase 2b [Source:ZFIN;Acc:ZDB-GENE-030131-2172]</t>
  </si>
  <si>
    <t>metap2b</t>
  </si>
  <si>
    <t>ENSDARG00000102571</t>
  </si>
  <si>
    <t>http://zfin.org/ZDB-GENE-000328-3</t>
  </si>
  <si>
    <t>http://zfin.org/ZDB-GENE-020228-2</t>
  </si>
  <si>
    <t>http://zfin.org/ZDB-GENE-060810-13</t>
  </si>
  <si>
    <t>http://zfin.org/ZDB-GENE-030131-7336</t>
  </si>
  <si>
    <t>serine/arginine-rich splicing factor 5a [Source:ZFIN;Acc:ZDB-GENE-030131-7336]</t>
  </si>
  <si>
    <t>srsf5a</t>
  </si>
  <si>
    <t>ENSDARG00000029818</t>
  </si>
  <si>
    <t>http://zfin.org/ZDB-GENE-041010-210</t>
  </si>
  <si>
    <t>http://zfin.org/ZDB-GENE-040426-863</t>
  </si>
  <si>
    <t>WD repeat domain 45B [Source:ZFIN;Acc:ZDB-GENE-040426-863]</t>
  </si>
  <si>
    <t>wdr45b</t>
  </si>
  <si>
    <t>ENSDARG00000021557</t>
  </si>
  <si>
    <t>http://zfin.org/ZDB-GENE-050809-3</t>
  </si>
  <si>
    <t>http://zfin.org/ZDB-GENE-040426-1609</t>
  </si>
  <si>
    <t>ubiquitin-conjugating enzyme E2D 1a [Source:ZFIN;Acc:ZDB-GENE-040426-1609]</t>
  </si>
  <si>
    <t>ube2d1a</t>
  </si>
  <si>
    <t>ENSDARG00000029107</t>
  </si>
  <si>
    <t>http://zfin.org/ZDB-GENE-030515-2</t>
  </si>
  <si>
    <t>http://zfin.org/ZDB-GENE-030131-1959</t>
  </si>
  <si>
    <t>general transcription factor IIH, polypeptide 2 [Source:ZFIN;Acc:ZDB-GENE-030131-1959]</t>
  </si>
  <si>
    <t>gtf2h2</t>
  </si>
  <si>
    <t>ENSDARG00000016514</t>
  </si>
  <si>
    <t>http://zfin.org/ZDB-GENE-050220-12</t>
  </si>
  <si>
    <t>ring finger protein 7 [Source:ZFIN;Acc:ZDB-GENE-050220-12]</t>
  </si>
  <si>
    <t>rnf7</t>
  </si>
  <si>
    <t>ENSDARG00000055524</t>
  </si>
  <si>
    <t>http://zfin.org/ZDB-GENE-061110-82</t>
  </si>
  <si>
    <t>lin-52 DREAM MuvB core complex component [Source:ZFIN;Acc:ZDB-GENE-061110-82]</t>
  </si>
  <si>
    <t>lin52</t>
  </si>
  <si>
    <t>ENSDARG00000070833</t>
  </si>
  <si>
    <t>http://zfin.org/ZDB-GENE-040426-715</t>
  </si>
  <si>
    <t>protein phosphatase 2, regulatory subunit B'', gamma [Source:ZFIN;Acc:ZDB-GENE-040426-715]</t>
  </si>
  <si>
    <t>ppp2r3c</t>
  </si>
  <si>
    <t>ENSDARG00000043972</t>
  </si>
  <si>
    <t>http://zfin.org/ZDB-GENE-021206-1</t>
  </si>
  <si>
    <t>http://zfin.org/ZDB-GENE-030804-15</t>
  </si>
  <si>
    <t>sb:cb649 [Source:ZFIN;Acc:ZDB-GENE-030804-15]</t>
  </si>
  <si>
    <t>WIPF3</t>
  </si>
  <si>
    <t>ENSDARG00000036245</t>
  </si>
  <si>
    <t>http://zfin.org/ZDB-GENE-030131-8247</t>
  </si>
  <si>
    <t>http://zfin.org/ZDB-GENE-050913-73</t>
  </si>
  <si>
    <t>lipolysis stimulated lipoprotein receptor [Source:ZFIN;Acc:ZDB-GENE-050913-73]</t>
  </si>
  <si>
    <t>lsr</t>
  </si>
  <si>
    <t>ENSDARG00000099291</t>
  </si>
  <si>
    <t>http://zfin.org/ZDB-GENE-081107-29</t>
  </si>
  <si>
    <t>ubiquitin protein ligase E3 component n-recognin 2 [Source:ZFIN;Acc:ZDB-GENE-081107-29]</t>
  </si>
  <si>
    <t>ubr2</t>
  </si>
  <si>
    <t>ENSDARG00000070164</t>
  </si>
  <si>
    <t>http://zfin.org/ZDB-GENE-040426-774</t>
  </si>
  <si>
    <t>ubiquitin specific peptidase 44 [Source:ZFIN;Acc:ZDB-GENE-040426-774]</t>
  </si>
  <si>
    <t>usp44</t>
  </si>
  <si>
    <t>ENSDARG00000089861</t>
  </si>
  <si>
    <t>http://zfin.org/ZDB-GENE-040426-1698</t>
  </si>
  <si>
    <t>MRG/MORF4L binding protein [Source:ZFIN;Acc:ZDB-GENE-040426-1698]</t>
  </si>
  <si>
    <t>mrgbp</t>
  </si>
  <si>
    <t>ENSDARG00000028894</t>
  </si>
  <si>
    <t>http://zfin.org/ZDB-GENE-030131-3694</t>
  </si>
  <si>
    <t>http://zfin.org/ZDB-GENE-040426-1378</t>
  </si>
  <si>
    <t>speckle-type POZ protein [Source:ZFIN;Acc:ZDB-GENE-040426-1378]</t>
  </si>
  <si>
    <t>spop</t>
  </si>
  <si>
    <t>ENSDARG00000100519</t>
  </si>
  <si>
    <t>http://zfin.org/ZDB-GENE-040426-1467</t>
  </si>
  <si>
    <t>serine/arginine-rich splicing factor 1b [Source:ZFIN;Acc:ZDB-GENE-040426-1467]</t>
  </si>
  <si>
    <t>srsf1b</t>
  </si>
  <si>
    <t>ENSDARG00000017843</t>
  </si>
  <si>
    <t>http://zfin.org/ZDB-GENE-040426-2707</t>
  </si>
  <si>
    <t>heterogeneous nuclear ribonucleoprotein L2 [Source:ZFIN;Acc:ZDB-GENE-040426-2707]</t>
  </si>
  <si>
    <t>hnrnpl2</t>
  </si>
  <si>
    <t>ENSDARG00000059303</t>
  </si>
  <si>
    <t>http://zfin.org/ZDB-GENE-030131-2167</t>
  </si>
  <si>
    <t>cytotoxic granule-associated RNA binding protein 1, like [Source:ZFIN;Acc:ZDB-GENE-030131-2167]</t>
  </si>
  <si>
    <t>tia1l</t>
  </si>
  <si>
    <t>ENSDARG00000026476</t>
  </si>
  <si>
    <t>http://zfin.org/ZDB-GENE-030131-2873</t>
  </si>
  <si>
    <t>TAF13 RNA polymerase II, TATA box binding protein (TBP)-associated factor [Source:ZFIN;Acc:ZDB-GENE-030131-2873]</t>
  </si>
  <si>
    <t>taf13</t>
  </si>
  <si>
    <t>ENSDARG00000070834</t>
  </si>
  <si>
    <t>http://zfin.org/ZDB-GENE-030131-5417</t>
  </si>
  <si>
    <t>inner membrane protein, mitochondrial (mitofilin) [Source:ZFIN;Acc:ZDB-GENE-030131-5417]</t>
  </si>
  <si>
    <t>immt</t>
  </si>
  <si>
    <t>ENSDARG00000102874</t>
  </si>
  <si>
    <t>http://zfin.org/ZDB-GENE-030131-371</t>
  </si>
  <si>
    <t>WD repeat domain 12 [Source:ZFIN;Acc:ZDB-GENE-030131-371]</t>
  </si>
  <si>
    <t>wdr12</t>
  </si>
  <si>
    <t>ENSDARG00000003287</t>
  </si>
  <si>
    <t>http://zfin.org/ZDB-GENE-040801-204</t>
  </si>
  <si>
    <t>family with sequence similarity 122B [Source:ZFIN;Acc:ZDB-GENE-040801-204]</t>
  </si>
  <si>
    <t>fam122b</t>
  </si>
  <si>
    <t>ENSDARG00000036500</t>
  </si>
  <si>
    <t>http://zfin.org/ZDB-GENE-070705-81</t>
  </si>
  <si>
    <t>http://zfin.org/ZDB-GENE-060331-129</t>
  </si>
  <si>
    <t>zgc:136864 [Source:ZFIN;Acc:ZDB-GENE-060331-129]</t>
  </si>
  <si>
    <t>zgc:136864</t>
  </si>
  <si>
    <t>ENSDARG00000059816</t>
  </si>
  <si>
    <t>http://zfin.org/ZDB-GENE-010130-1</t>
  </si>
  <si>
    <t>C-terminal binding protein 1 [Source:ZFIN;Acc:ZDB-GENE-010130-1]</t>
  </si>
  <si>
    <t>ctbp1</t>
  </si>
  <si>
    <t>ENSDARG00000057007</t>
  </si>
  <si>
    <t>http://zfin.org/ZDB-GENE-070629-1</t>
  </si>
  <si>
    <t>nucleolar protein 9 [Source:ZFIN;Acc:ZDB-GENE-070629-1]</t>
  </si>
  <si>
    <t>nol9</t>
  </si>
  <si>
    <t>ENSDARG00000077751</t>
  </si>
  <si>
    <t>http://zfin.org/ZDB-GENE-041008-125</t>
  </si>
  <si>
    <t>mitochondrial ribosomal protein L48 [Source:ZFIN;Acc:ZDB-GENE-041008-125]</t>
  </si>
  <si>
    <t>mrpl48</t>
  </si>
  <si>
    <t>ENSDARG00000035167</t>
  </si>
  <si>
    <t>http://zfin.org/ZDB-GENE-030616-595</t>
  </si>
  <si>
    <t>protein phosphatase 1, regulatory (inhibitor) subunit 14Bb [Source:ZFIN;Acc:ZDB-GENE-030616-595]</t>
  </si>
  <si>
    <t>ppp1r14bb</t>
  </si>
  <si>
    <t>ENSDARG00000030161</t>
  </si>
  <si>
    <t>http://zfin.org/ZDB-GENE-050522-513</t>
  </si>
  <si>
    <t>general transcription factor IIA, 2 [Source:ZFIN;Acc:ZDB-GENE-050522-513]</t>
  </si>
  <si>
    <t>gtf2a2</t>
  </si>
  <si>
    <t>ENSDARG00000053685</t>
  </si>
  <si>
    <t>http://zfin.org/ZDB-GENE-040718-228</t>
  </si>
  <si>
    <t>HGH1 homolog (S. cerevisiae) [Source:ZFIN;Acc:ZDB-GENE-040718-228]</t>
  </si>
  <si>
    <t>hgh1</t>
  </si>
  <si>
    <t>ENSDARG00000101259</t>
  </si>
  <si>
    <t>http://zfin.org/ZDB-GENE-040426-2020</t>
  </si>
  <si>
    <t>cell cycle associated protein 1b [Source:ZFIN;Acc:ZDB-GENE-040426-2020]</t>
  </si>
  <si>
    <t>caprin1b</t>
  </si>
  <si>
    <t>ENSDARG00000054272</t>
  </si>
  <si>
    <t>http://zfin.org/ZDB-GENE-030131-1986</t>
  </si>
  <si>
    <t>CD99 molecule-like 2 [Source:ZFIN;Acc:ZDB-GENE-030131-1986]</t>
  </si>
  <si>
    <t>cd99l2</t>
  </si>
  <si>
    <t>ENSDARG00000056722</t>
  </si>
  <si>
    <t>http://zfin.org/ZDB-GENE-040426-1861</t>
  </si>
  <si>
    <t>diazepam binding inhibitor (GABA receptor modulator, acyl-CoA binding protein) [Source:ZFIN;Acc:ZDB-GENE-040426-1861]</t>
  </si>
  <si>
    <t>dbi</t>
  </si>
  <si>
    <t>ENSDARG00000026369</t>
  </si>
  <si>
    <t>http://zfin.org/ZDB-GENE-040426-2695</t>
  </si>
  <si>
    <t>ARP1 actin-related protein 1, centractin (yeast) [Source:ZFIN;Acc:ZDB-GENE-040426-2695]</t>
  </si>
  <si>
    <t>actr1</t>
  </si>
  <si>
    <t>ENSDARG00000011611</t>
  </si>
  <si>
    <t>http://zfin.org/ZDB-GENE-030131-373</t>
  </si>
  <si>
    <t>cystatin C (amyloid angiopathy and cerebral hemorrhage) [Source:ZFIN;Acc:ZDB-GENE-030131-373]</t>
  </si>
  <si>
    <t>cst3</t>
  </si>
  <si>
    <t>ENSDARG00000007795</t>
  </si>
  <si>
    <t>http://zfin.org/ZDB-GENE-030131-419</t>
  </si>
  <si>
    <t>http://zfin.org/ZDB-GENE-071004-104</t>
  </si>
  <si>
    <t>zgc:173517 [Source:ZFIN;Acc:ZDB-GENE-071004-104]</t>
  </si>
  <si>
    <t>zgc:173517</t>
  </si>
  <si>
    <t>ENSDARG00000104611</t>
  </si>
  <si>
    <t>http://zfin.org/ZDB-GENE-040718-422</t>
  </si>
  <si>
    <t>squamous cell carcinoma antigen recognised by T cells [Source:ZFIN;Acc:ZDB-GENE-040718-422]</t>
  </si>
  <si>
    <t>sart1</t>
  </si>
  <si>
    <t>ENSDARG00000005945</t>
  </si>
  <si>
    <t>http://zfin.org/ZDB-GENE-040801-170</t>
  </si>
  <si>
    <t>SYF2 pre-mRNA-splicing factor [Source:ZFIN;Acc:ZDB-GENE-040801-170]</t>
  </si>
  <si>
    <t>syf2</t>
  </si>
  <si>
    <t>ENSDARG00000004706</t>
  </si>
  <si>
    <t>http://zfin.org/ZDB-GENE-030131-5277</t>
  </si>
  <si>
    <t>cleavage and polyadenylation specific factor 6 [Source:ZFIN;Acc:ZDB-GENE-030131-5277]</t>
  </si>
  <si>
    <t>cpsf6</t>
  </si>
  <si>
    <t>ENSDARG00000018618</t>
  </si>
  <si>
    <t>http://zfin.org/ZDB-GENE-051113-312</t>
  </si>
  <si>
    <t>transmembrane protein 55Ba [Source:ZFIN;Acc:ZDB-GENE-051113-312]</t>
  </si>
  <si>
    <t>tmem55ba</t>
  </si>
  <si>
    <t>ENSDARG00000038615</t>
  </si>
  <si>
    <t>http://zfin.org/ZDB-GENE-031002-18</t>
  </si>
  <si>
    <t>synaptotagmin IXa [Source:ZFIN;Acc:ZDB-GENE-031002-18]</t>
  </si>
  <si>
    <t>syt9a</t>
  </si>
  <si>
    <t>ENSDARG00000003994</t>
  </si>
  <si>
    <t>http://zfin.org/ZDB-GENE-060810-79</t>
  </si>
  <si>
    <t>http://zfin.org/ZDB-GENE-040426-962</t>
  </si>
  <si>
    <t>tubulin cofactor a [Source:ZFIN;Acc:ZDB-GENE-040426-962]</t>
  </si>
  <si>
    <t>tbca</t>
  </si>
  <si>
    <t>ENSDARG00000016754</t>
  </si>
  <si>
    <t>http://zfin.org/ZDB-GENE-040718-291</t>
  </si>
  <si>
    <t>polymerase (RNA) III (DNA directed) polypeptide K [Source:ZFIN;Acc:ZDB-GENE-040718-291]</t>
  </si>
  <si>
    <t>polr3k</t>
  </si>
  <si>
    <t>ENSDARG00000037835</t>
  </si>
  <si>
    <t>http://zfin.org/ZDB-GENE-030131-8215</t>
  </si>
  <si>
    <t>si:dkey-89b17.4 [Source:ZFIN;Acc:ZDB-GENE-030131-8215]</t>
  </si>
  <si>
    <t>si:dkey-89b17.4</t>
  </si>
  <si>
    <t>ENSDARG00000075545</t>
  </si>
  <si>
    <t>http://zfin.org/ZDB-GENE-030131-8767</t>
  </si>
  <si>
    <t>developmentally regulated GTP binding protein 1 [Source:ZFIN;Acc:ZDB-GENE-030131-8767]</t>
  </si>
  <si>
    <t>drg1</t>
  </si>
  <si>
    <t>ENSDARG00000039345</t>
  </si>
  <si>
    <t>http://zfin.org/ZDB-GENE-040426-2900</t>
  </si>
  <si>
    <t>eukaryotic translation initiation factor 3, subunit Jb [Source:ZFIN;Acc:ZDB-GENE-040426-2900]</t>
  </si>
  <si>
    <t>eif3jb</t>
  </si>
  <si>
    <t>ENSDARG00000053370</t>
  </si>
  <si>
    <t>http://zfin.org/ZDB-GENE-021031-2</t>
  </si>
  <si>
    <t>archain 1a [Source:ZFIN;Acc:ZDB-GENE-021031-2]</t>
  </si>
  <si>
    <t>arcn1a</t>
  </si>
  <si>
    <t>ENSDARG00000002792</t>
  </si>
  <si>
    <t>http://zfin.org/ZDB-GENE-040426-820</t>
  </si>
  <si>
    <t>cell division cycle 14B [Source:ZFIN;Acc:ZDB-GENE-040426-820]</t>
  </si>
  <si>
    <t>cdc14b</t>
  </si>
  <si>
    <t>ENSDARG00000021483</t>
  </si>
  <si>
    <t>http://zfin.org/ZDB-GENE-141216-78</t>
  </si>
  <si>
    <t>purine-rich element binding protein Ab [Source:ZFIN;Acc:ZDB-GENE-141216-78]</t>
  </si>
  <si>
    <t>purab</t>
  </si>
  <si>
    <t>ENSDARG00000099614</t>
  </si>
  <si>
    <t>http://zfin.org/ZDB-GENE-030131-6609</t>
  </si>
  <si>
    <t>polymerase (RNA) II (DNA directed) polypeptide C [Source:ZFIN;Acc:ZDB-GENE-030131-6609]</t>
  </si>
  <si>
    <t>polr2c</t>
  </si>
  <si>
    <t>ENSDARG00000033596</t>
  </si>
  <si>
    <t>http://zfin.org/ZDB-GENE-041008-187</t>
  </si>
  <si>
    <t>ubiquitin specific peptidase 4 (proto-oncogene) [Source:ZFIN;Acc:ZDB-GENE-041008-187]</t>
  </si>
  <si>
    <t>usp4</t>
  </si>
  <si>
    <t>ENSDARG00000014770</t>
  </si>
  <si>
    <t>http://zfin.org/ZDB-GENE-041114-32</t>
  </si>
  <si>
    <t>solute carrier family 7, member 6 opposite strand [Source:ZFIN;Acc:ZDB-GENE-041114-32]</t>
  </si>
  <si>
    <t>slc7a6os</t>
  </si>
  <si>
    <t>ENSDARG00000010596</t>
  </si>
  <si>
    <t>http://zfin.org/ZDB-GENE-061013-632</t>
  </si>
  <si>
    <t>mitochondrial ribosomal protein L18 [Source:ZFIN;Acc:ZDB-GENE-061013-632]</t>
  </si>
  <si>
    <t>mrpl18</t>
  </si>
  <si>
    <t>ENSDARG00000060199</t>
  </si>
  <si>
    <t>http://zfin.org/ZDB-GENE-030616-72</t>
  </si>
  <si>
    <t>ubiquitin-conjugating enzyme E2A (RAD6 homolog) [Source:ZFIN;Acc:ZDB-GENE-030616-72]</t>
  </si>
  <si>
    <t>ube2a</t>
  </si>
  <si>
    <t>ENSDARG00000098466</t>
  </si>
  <si>
    <t>http://zfin.org/ZDB-GENE-060503-896</t>
  </si>
  <si>
    <t>zinc finger protein 865 [Source:ZFIN;Acc:ZDB-GENE-060503-896]</t>
  </si>
  <si>
    <t>znf865</t>
  </si>
  <si>
    <t>ENSDARG00000036698</t>
  </si>
  <si>
    <t>http://zfin.org/ZDB-GENE-070112-991</t>
  </si>
  <si>
    <t>protein O-linked mannose N-acetylglucosaminyltransferase 1 (beta 1,2-) [Source:ZFIN;Acc:ZDB-GENE-070112-991]</t>
  </si>
  <si>
    <t>pomgnt1</t>
  </si>
  <si>
    <t>ENSDARG00000052025</t>
  </si>
  <si>
    <t>http://zfin.org/ZDB-GENE-030829-40</t>
  </si>
  <si>
    <t>protein phosphatase 1, regulatory subunit 15B [Source:ZFIN;Acc:ZDB-GENE-030829-40]</t>
  </si>
  <si>
    <t>ppp1r15b</t>
  </si>
  <si>
    <t>ENSDARG00000068128</t>
  </si>
  <si>
    <t>http://zfin.org/ZDB-GENE-050522-240</t>
  </si>
  <si>
    <t>mitochondrial ribosomal protein L30 [Source:ZFIN;Acc:ZDB-GENE-050522-240]</t>
  </si>
  <si>
    <t>mrpl30</t>
  </si>
  <si>
    <t>ENSDARG00000069850</t>
  </si>
  <si>
    <t>http://zfin.org/ZDB-GENE-060825-128</t>
  </si>
  <si>
    <t>family with sequence similarity 168, member A [Source:ZFIN;Acc:ZDB-GENE-060825-128]</t>
  </si>
  <si>
    <t>fam168a</t>
  </si>
  <si>
    <t>ENSDARG00000098832</t>
  </si>
  <si>
    <t>http://zfin.org/ZDB-GENE-060503-233</t>
  </si>
  <si>
    <t>defender against cell death 1 [Source:ZFIN;Acc:ZDB-GENE-060503-233]</t>
  </si>
  <si>
    <t>dad1</t>
  </si>
  <si>
    <t>ENSDARG00000102105</t>
  </si>
  <si>
    <t>http://zfin.org/ZDB-GENE-040718-469</t>
  </si>
  <si>
    <t>proteasome (prosome, macropain) assembly chaperone 1 [Source:ZFIN;Acc:ZDB-GENE-040718-469]</t>
  </si>
  <si>
    <t>psmg1</t>
  </si>
  <si>
    <t>ENSDARG00000040620</t>
  </si>
  <si>
    <t>http://zfin.org/ZDB-GENE-080303-9</t>
  </si>
  <si>
    <t>si:ch211-79k12.1 [Source:ZFIN;Acc:ZDB-GENE-080303-9]</t>
  </si>
  <si>
    <t>si:ch211-79k12.1</t>
  </si>
  <si>
    <t>ENSDARG00000079175</t>
  </si>
  <si>
    <t>http://zfin.org/</t>
  </si>
  <si>
    <t>BX323573.2</t>
  </si>
  <si>
    <t>ENSDARG00000100169</t>
  </si>
  <si>
    <t>http://zfin.org/ZDB-GENE-030131-8984</t>
  </si>
  <si>
    <t>plectin a [Source:ZFIN;Acc:ZDB-GENE-030131-8984]</t>
  </si>
  <si>
    <t>pleca</t>
  </si>
  <si>
    <t>ENSDARG00000062590</t>
  </si>
  <si>
    <t>http://zfin.org/ZDB-GENE-040426-2077</t>
  </si>
  <si>
    <t>phosphoribosyl pyrophosphate synthetase-associated protein 2 [Source:ZFIN;Acc:ZDB-GENE-040426-2077]</t>
  </si>
  <si>
    <t>prpsap2</t>
  </si>
  <si>
    <t>ENSDARG00000019326</t>
  </si>
  <si>
    <t>http://zfin.org/ZDB-GENE-040426-1945</t>
  </si>
  <si>
    <t>acyl-CoA dehydrogenase, C-4 to C-12 straight chain [Source:ZFIN;Acc:ZDB-GENE-040426-1945]</t>
  </si>
  <si>
    <t>acadm</t>
  </si>
  <si>
    <t>ENSDARG00000038900</t>
  </si>
  <si>
    <t>http://zfin.org/ZDB-GENE-040927-13</t>
  </si>
  <si>
    <t>zgc:101858 [Source:ZFIN;Acc:ZDB-GENE-040927-13]</t>
  </si>
  <si>
    <t>zgc:101858</t>
  </si>
  <si>
    <t>ENSDARG00000035129</t>
  </si>
  <si>
    <t>http://zfin.org/ZDB-GENE-010413-1</t>
  </si>
  <si>
    <t>http://zfin.org/ZDB-GENE-030131-5611</t>
  </si>
  <si>
    <t>si:ch73-109d9.2 [Source:ZFIN;Acc:ZDB-GENE-030131-5611]</t>
  </si>
  <si>
    <t>si:ch73-109d9.2</t>
  </si>
  <si>
    <t>ENSDARG00000103871</t>
  </si>
  <si>
    <t>http://zfin.org/ZDB-GENE-040426-886</t>
  </si>
  <si>
    <t>retinoblastoma binding protein 5 [Source:ZFIN;Acc:ZDB-GENE-040426-886]</t>
  </si>
  <si>
    <t>rbbp5</t>
  </si>
  <si>
    <t>ENSDARG00000042147</t>
  </si>
  <si>
    <t>http://zfin.org/ZDB-GENE-050913-49</t>
  </si>
  <si>
    <t>http://zfin.org/ZDB-GENE-030131-4922</t>
  </si>
  <si>
    <t>protein phosphatase 4, regulatory subunit 2a [Source:ZFIN;Acc:ZDB-GENE-030131-4922]</t>
  </si>
  <si>
    <t>ppp4r2a</t>
  </si>
  <si>
    <t>ENSDARG00000026540</t>
  </si>
  <si>
    <t>http://zfin.org/ZDB-GENE-040912-72</t>
  </si>
  <si>
    <t>immunoglobulin-like domain containing receptor 1b [Source:ZFIN;Acc:ZDB-GENE-040912-72]</t>
  </si>
  <si>
    <t>ildr1b</t>
  </si>
  <si>
    <t>ENSDARG00000040910</t>
  </si>
  <si>
    <t>http://zfin.org/ZDB-GENE-010724-3</t>
  </si>
  <si>
    <t>SEC22 homolog B, vesicle trafficking protein a [Source:ZFIN;Acc:ZDB-GENE-010724-3]</t>
  </si>
  <si>
    <t>sec22ba</t>
  </si>
  <si>
    <t>ENSDARG00000030108</t>
  </si>
  <si>
    <t>http://zfin.org/ZDB-GENE-040426-1850</t>
  </si>
  <si>
    <t>catenin, beta like 1 [Source:ZFIN;Acc:ZDB-GENE-040426-1850]</t>
  </si>
  <si>
    <t>ctnnbl1</t>
  </si>
  <si>
    <t>ENSDARG00000011958</t>
  </si>
  <si>
    <t>http://zfin.org/ZDB-GENE-040426-2768</t>
  </si>
  <si>
    <t>http://zfin.org/ZDB-GENE-030131-866</t>
  </si>
  <si>
    <t>farnesyltransferase, CAAX box, alpha [Source:ZFIN;Acc:ZDB-GENE-030131-866]</t>
  </si>
  <si>
    <t>fnta</t>
  </si>
  <si>
    <t>ENSDARG00000099143</t>
  </si>
  <si>
    <t>http://zfin.org/ZDB-GENE-050320-136</t>
  </si>
  <si>
    <t>http://zfin.org/ZDB-GENE-030131-667</t>
  </si>
  <si>
    <t>DEAD (Asp-Glu-Ala-Asp) box polypeptide 46 [Source:ZFIN;Acc:ZDB-GENE-030131-667]</t>
  </si>
  <si>
    <t>ddx46</t>
  </si>
  <si>
    <t>ENSDARG00000099458</t>
  </si>
  <si>
    <t>http://zfin.org/ZDB-GENE-030131-3104</t>
  </si>
  <si>
    <t>synaptotagmin binding, cytoplasmic RNA interacting protein, like [Source:ZFIN;Acc:ZDB-GENE-030131-3104]</t>
  </si>
  <si>
    <t>syncripl</t>
  </si>
  <si>
    <t>ENSDARG00000026723</t>
  </si>
  <si>
    <t>http://zfin.org/ZDB-GENE-030131-2196</t>
  </si>
  <si>
    <t>YLP motif containing 1 [Source:ZFIN;Acc:ZDB-GENE-030131-2196]</t>
  </si>
  <si>
    <t>ylpm1</t>
  </si>
  <si>
    <t>ENSDARG00000043680</t>
  </si>
  <si>
    <t>http://zfin.org/ZDB-GENE-040122-3</t>
  </si>
  <si>
    <t>http://zfin.org/ZDB-GENE-990415-65</t>
  </si>
  <si>
    <t>eph receptor B4b [Source:ZFIN;Acc:ZDB-GENE-990415-65]</t>
  </si>
  <si>
    <t>ephb4b</t>
  </si>
  <si>
    <t>ENSDARG00000027112</t>
  </si>
  <si>
    <t>http://zfin.org/ZDB-GENE-060503-530</t>
  </si>
  <si>
    <t>protein tyrosine phosphatase, receptor type, f, b [Source:ZFIN;Acc:ZDB-GENE-060503-530]</t>
  </si>
  <si>
    <t>ptprfb</t>
  </si>
  <si>
    <t>ENSDARG00000005754</t>
  </si>
  <si>
    <t>http://zfin.org/ZDB-GENE-030131-6778</t>
  </si>
  <si>
    <t>http://zfin.org/ZDB-GENE-041212-79</t>
  </si>
  <si>
    <t>http://zfin.org/ZDB-GENE-001103-5</t>
  </si>
  <si>
    <t>claudin 7b [Source:ZFIN;Acc:ZDB-GENE-001103-5]</t>
  </si>
  <si>
    <t>cldn7b</t>
  </si>
  <si>
    <t>ENSDARG00000014047</t>
  </si>
  <si>
    <t>http://zfin.org/ZDB-GENE-030131-5726</t>
  </si>
  <si>
    <t>eukaryotic translation initiation factor 3, subunit 10 (theta) [Source:ZFIN;Acc:ZDB-GENE-030131-5726]</t>
  </si>
  <si>
    <t>eif3s10</t>
  </si>
  <si>
    <t>ENSDARG00000076815</t>
  </si>
  <si>
    <t>CT956002.2</t>
  </si>
  <si>
    <t>http://zfin.org/ZDB-GENE-080520-1</t>
  </si>
  <si>
    <t>family with sequence similarity 134, member C [Source:ZFIN;Acc:ZDB-GENE-080520-1]</t>
  </si>
  <si>
    <t>fam134c</t>
  </si>
  <si>
    <t>ENSDARG00000059804</t>
  </si>
  <si>
    <t>http://zfin.org/ZDB-GENE-100921-13</t>
  </si>
  <si>
    <t>tubulin folding cofactor E-like b [Source:ZFIN;Acc:ZDB-GENE-100921-13]</t>
  </si>
  <si>
    <t>tbcelb</t>
  </si>
  <si>
    <t>ENSDARG00000019525</t>
  </si>
  <si>
    <t>http://zfin.org/ZDB-GENE-980526-527</t>
  </si>
  <si>
    <t>http://zfin.org/ZDB-GENE-050913-36</t>
  </si>
  <si>
    <t>aminoadipate-semialdehyde dehydrogenase-phosphopantetheinyl transferase [Source:ZFIN;Acc:ZDB-GENE-050913-36]</t>
  </si>
  <si>
    <t>aasdhppt</t>
  </si>
  <si>
    <t>ENSDARG00000037501</t>
  </si>
  <si>
    <t>http://zfin.org/ZDB-GENE-040426-1958</t>
  </si>
  <si>
    <t>secretion associated, Ras related GTPase 1B [Source:ZFIN;Acc:ZDB-GENE-040426-1958]</t>
  </si>
  <si>
    <t>sar1b</t>
  </si>
  <si>
    <t>ENSDARG00000103403</t>
  </si>
  <si>
    <t>http://zfin.org/ZDB-GENE-030131-6223</t>
  </si>
  <si>
    <t>http://zfin.org/ZDB-GENE-040426-2160</t>
  </si>
  <si>
    <t>tyrosine 3-monooxygenase/tryptophan 5-monooxygenase activation protein, beta polypeptide b [Source:ZFIN;Acc:ZDB-GENE-040426-2160]</t>
  </si>
  <si>
    <t>ywhabb</t>
  </si>
  <si>
    <t>ENSDARG00000075758</t>
  </si>
  <si>
    <t>http://zfin.org/ZDB-GENE-040426-977</t>
  </si>
  <si>
    <t>http://zfin.org/ZDB-GENE-080521-1</t>
  </si>
  <si>
    <t>lysine (K)-specific methyltransferase 2Bb [Source:ZFIN;Acc:ZDB-GENE-080521-1]</t>
  </si>
  <si>
    <t>kmt2bb</t>
  </si>
  <si>
    <t>ENSDARG00000060697</t>
  </si>
  <si>
    <t>http://zfin.org/ZDB-GENE-990415-29</t>
  </si>
  <si>
    <t>casein kinase 2, beta polypeptide [Source:ZFIN;Acc:ZDB-GENE-990415-29]</t>
  </si>
  <si>
    <t>csnk2b</t>
  </si>
  <si>
    <t>ENSDARG00000077776</t>
  </si>
  <si>
    <t>http://zfin.org/ZDB-GENE-050913-131</t>
  </si>
  <si>
    <t>signal recognition particle 14 [Source:ZFIN;Acc:ZDB-GENE-050913-131]</t>
  </si>
  <si>
    <t>srp14</t>
  </si>
  <si>
    <t>ENSDARG00000101066</t>
  </si>
  <si>
    <t>http://zfin.org/ZDB-GENE-030131-4156</t>
  </si>
  <si>
    <t>R3H domain and coiled-coil containing 1-like [Source:ZFIN;Acc:ZDB-GENE-030131-4156]</t>
  </si>
  <si>
    <t>r3hcc1l</t>
  </si>
  <si>
    <t>ENSDARG00000089243</t>
  </si>
  <si>
    <t>http://zfin.org/ZDB-GENE-040426-1487</t>
  </si>
  <si>
    <t>RAD23 homolog B, nucleotide excision repair protein [Source:ZFIN;Acc:ZDB-GENE-040426-1487]</t>
  </si>
  <si>
    <t>rad23b</t>
  </si>
  <si>
    <t>ENSDARG00000021550</t>
  </si>
  <si>
    <t>http://zfin.org/ZDB-GENE-121214-129</t>
  </si>
  <si>
    <t>G protein-coupled receptor 108 [Source:ZFIN;Acc:ZDB-GENE-121214-129]</t>
  </si>
  <si>
    <t>gpr108</t>
  </si>
  <si>
    <t>ENSDARG00000096651</t>
  </si>
  <si>
    <t>http://zfin.org/ZDB-GENE-030131-5829</t>
  </si>
  <si>
    <t>remodeling and spacing factor 1b, tandem duplicate 1 [Source:ZFIN;Acc:ZDB-GENE-030131-5829]</t>
  </si>
  <si>
    <t>rsf1b.1</t>
  </si>
  <si>
    <t>ENSDARG00000068640</t>
  </si>
  <si>
    <t>http://zfin.org/ZDB-GENE-041014-337</t>
  </si>
  <si>
    <t>adenylate kinase 9 [Source:ZFIN;Acc:ZDB-GENE-041014-337]</t>
  </si>
  <si>
    <t>ak9</t>
  </si>
  <si>
    <t>ENSDARG00000021913</t>
  </si>
  <si>
    <t>http://zfin.org/ZDB-GENE-061103-124</t>
  </si>
  <si>
    <t>COMM domain containing 8 [Source:ZFIN;Acc:ZDB-GENE-061103-124]</t>
  </si>
  <si>
    <t>commd8</t>
  </si>
  <si>
    <t>ENSDARG00000028201</t>
  </si>
  <si>
    <t>http://zfin.org/ZDB-GENE-030425-4</t>
  </si>
  <si>
    <t>protein phosphatase, Mg2+/Mn2+ dependent, 1G [Source:ZFIN;Acc:ZDB-GENE-030425-4]</t>
  </si>
  <si>
    <t>ppm1g</t>
  </si>
  <si>
    <t>ENSDARG00000075559</t>
  </si>
  <si>
    <t>http://zfin.org/ZDB-GENE-030131-2341</t>
  </si>
  <si>
    <t>mediator complex subunit 24 [Source:ZFIN;Acc:ZDB-GENE-030131-2341]</t>
  </si>
  <si>
    <t>med24</t>
  </si>
  <si>
    <t>ENSDARG00000099431</t>
  </si>
  <si>
    <t>http://zfin.org/ZDB-GENE-050417-156</t>
  </si>
  <si>
    <t>dynein, cytoplasmic 1, light intermediate chain 2 [Source:ZFIN;Acc:ZDB-GENE-050417-156]</t>
  </si>
  <si>
    <t>dync1li2</t>
  </si>
  <si>
    <t>ENSDARG00000035924</t>
  </si>
  <si>
    <t>http://zfin.org/ZDB-GENE-031118-120</t>
  </si>
  <si>
    <t>http://zfin.org/ZDB-GENE-040724-90</t>
  </si>
  <si>
    <t>translocase of outer mitochondrial membrane 5 homolog (yeast) [Source:ZFIN;Acc:ZDB-GENE-040724-90]</t>
  </si>
  <si>
    <t>tomm5</t>
  </si>
  <si>
    <t>ENSDARG00000068265</t>
  </si>
  <si>
    <t>http://zfin.org/ZDB-GENE-030131-4189</t>
  </si>
  <si>
    <t>KDEL (Lys-Asp-Glu-Leu) endoplasmic reticulum protein retention receptor 2b [Source:ZFIN;Acc:ZDB-GENE-030131-4189]</t>
  </si>
  <si>
    <t>kdelr2b</t>
  </si>
  <si>
    <t>ENSDARG00000037361</t>
  </si>
  <si>
    <t>http://zfin.org/ZDB-GENE-040704-17</t>
  </si>
  <si>
    <t>http://zfin.org/ZDB-GENE-040718-430</t>
  </si>
  <si>
    <t>prohibitin 2b [Source:ZFIN;Acc:ZDB-GENE-040718-430]</t>
  </si>
  <si>
    <t>phb2b</t>
  </si>
  <si>
    <t>ENSDARG00000017728</t>
  </si>
  <si>
    <t>http://zfin.org/ZDB-GENE-030131-740</t>
  </si>
  <si>
    <t>histone PARylation factor 1 [Source:ZFIN;Acc:ZDB-GENE-030131-740]</t>
  </si>
  <si>
    <t>hpf1</t>
  </si>
  <si>
    <t>ENSDARG00000057114</t>
  </si>
  <si>
    <t>http://zfin.org/ZDB-GENE-020419-1</t>
  </si>
  <si>
    <t>U2 small nuclear RNA auxiliary factor 1 [Source:ZFIN;Acc:ZDB-GENE-020419-1]</t>
  </si>
  <si>
    <t>u2af1</t>
  </si>
  <si>
    <t>ENSDARG00000015325</t>
  </si>
  <si>
    <t>http://zfin.org/ZDB-GENE-050417-323</t>
  </si>
  <si>
    <t>zgc:110339 [Source:ZFIN;Acc:ZDB-GENE-050417-323]</t>
  </si>
  <si>
    <t>zgc:110339</t>
  </si>
  <si>
    <t>ENSDARG00000046030</t>
  </si>
  <si>
    <t>http://zfin.org/ZDB-GENE-041014-349</t>
  </si>
  <si>
    <t>general transcription factor IIIC, polypeptide 2, beta [Source:ZFIN;Acc:ZDB-GENE-041014-349]</t>
  </si>
  <si>
    <t>gtf3c2</t>
  </si>
  <si>
    <t>ENSDARG00000004574</t>
  </si>
  <si>
    <t>http://zfin.org/ZDB-GENE-120709-30</t>
  </si>
  <si>
    <t>si:dkey-225n22.4 [Source:ZFIN;Acc:ZDB-GENE-120709-30]</t>
  </si>
  <si>
    <t>si:dkey-225n22.4</t>
  </si>
  <si>
    <t>ENSDARG00000077245</t>
  </si>
  <si>
    <t>http://zfin.org/ZDB-GENE-060503-297</t>
  </si>
  <si>
    <t>tRNA isopentenyltransferase 1 [Source:ZFIN;Acc:ZDB-GENE-060503-297]</t>
  </si>
  <si>
    <t>trit1</t>
  </si>
  <si>
    <t>ENSDARG00000032876</t>
  </si>
  <si>
    <t>http://zfin.org/ZDB-GENE-040718-348</t>
  </si>
  <si>
    <t>mortality factor 4 like 1 [Source:ZFIN;Acc:ZDB-GENE-040718-348]</t>
  </si>
  <si>
    <t>morf4l1</t>
  </si>
  <si>
    <t>ENSDARG00000041155</t>
  </si>
  <si>
    <t>http://zfin.org/ZDB-GENE-030131-954</t>
  </si>
  <si>
    <t>si:ch211-195b21.5 [Source:ZFIN;Acc:ZDB-GENE-030131-954]</t>
  </si>
  <si>
    <t>si:ch211-195b21.5</t>
  </si>
  <si>
    <t>ENSDARG00000007204</t>
  </si>
  <si>
    <t>http://zfin.org/ZDB-GENE-141216-265</t>
  </si>
  <si>
    <t>si:ch211-212k18.4 [Source:ZFIN;Acc:ZDB-GENE-141216-265]</t>
  </si>
  <si>
    <t>si:ch211-212k18.4</t>
  </si>
  <si>
    <t>ENSDARG00000104169</t>
  </si>
  <si>
    <t>http://zfin.org/ZDB-GENE-040822-30</t>
  </si>
  <si>
    <t>X-ray repair complementing defective repair in Chinese hamster cells 1 [Source:ZFIN;Acc:ZDB-GENE-040822-30]</t>
  </si>
  <si>
    <t>xrcc1</t>
  </si>
  <si>
    <t>ENSDARG00000009494</t>
  </si>
  <si>
    <t>http://zfin.org/ZDB-GENE-060201-1</t>
  </si>
  <si>
    <t>ATP synthase, H+ transporting, mitochondrial F1 complex, alpha subunit 1, cardiac muscle [Source:ZFIN;Acc:ZDB-GENE-060201-1]</t>
  </si>
  <si>
    <t>atp5a1</t>
  </si>
  <si>
    <t>ENSDARG00000010149</t>
  </si>
  <si>
    <t>http://zfin.org/ZDB-GENE-030826-21</t>
  </si>
  <si>
    <t>centrin 4 [Source:ZFIN;Acc:ZDB-GENE-030826-21]</t>
  </si>
  <si>
    <t>cetn4</t>
  </si>
  <si>
    <t>ENSDARG00000041215</t>
  </si>
  <si>
    <t>http://zfin.org/ZDB-GENE-030326-1</t>
  </si>
  <si>
    <t>dihydrolipoamide S-succinyltransferase [Source:ZFIN;Acc:ZDB-GENE-030326-1]</t>
  </si>
  <si>
    <t>dlst</t>
  </si>
  <si>
    <t>ENSDARG00000014230</t>
  </si>
  <si>
    <t>http://zfin.org/ZDB-GENE-050913-123</t>
  </si>
  <si>
    <t>grainyhead-like transcription factor 2a [Source:ZFIN;Acc:ZDB-GENE-050913-123]</t>
  </si>
  <si>
    <t>grhl2a</t>
  </si>
  <si>
    <t>ENSDARG00000058342</t>
  </si>
  <si>
    <t>http://zfin.org/ZDB-GENE-040426-2435</t>
  </si>
  <si>
    <t>LEO1 homolog, Paf1/RNA polymerase II complex component [Source:ZFIN;Acc:ZDB-GENE-040426-2435]</t>
  </si>
  <si>
    <t>leo1</t>
  </si>
  <si>
    <t>ENSDARG00000055357</t>
  </si>
  <si>
    <t>http://zfin.org/ZDB-GENE-990415-27</t>
  </si>
  <si>
    <t>casein kinase 2, alpha 1 polypeptide [Source:ZFIN;Acc:ZDB-GENE-990415-27]</t>
  </si>
  <si>
    <t>csnk2a1</t>
  </si>
  <si>
    <t>ENSDARG00000002082</t>
  </si>
  <si>
    <t>http://zfin.org/ZDB-GENE-040827-3</t>
  </si>
  <si>
    <t>splicing factor 3b, subunit 1 [Source:ZFIN;Acc:ZDB-GENE-040827-3]</t>
  </si>
  <si>
    <t>sf3b1</t>
  </si>
  <si>
    <t>ENSDARG00000056138</t>
  </si>
  <si>
    <t>http://zfin.org/ZDB-GENE-021125-1</t>
  </si>
  <si>
    <t>SWI/SNF related, matrix associated, actin dependent regulator of chromatin, subfamily a, member 5 [Source:ZFIN;Acc:ZDB-GENE-021125-1]</t>
  </si>
  <si>
    <t>smarca5</t>
  </si>
  <si>
    <t>ENSDARG00000052348</t>
  </si>
  <si>
    <t>http://zfin.org/ZDB-GENE-050809-12</t>
  </si>
  <si>
    <t>mitochondrial ribosomal protein L2 [Source:ZFIN;Acc:ZDB-GENE-050809-12]</t>
  </si>
  <si>
    <t>mrpl2</t>
  </si>
  <si>
    <t>ENSDARG00000062568</t>
  </si>
  <si>
    <t>http://zfin.org/ZDB-GENE-030131-3196</t>
  </si>
  <si>
    <t>structural maintenance of chromosomes 3 [Source:ZFIN;Acc:ZDB-GENE-030131-3196]</t>
  </si>
  <si>
    <t>smc3</t>
  </si>
  <si>
    <t>ENSDARG00000019000</t>
  </si>
  <si>
    <t>http://zfin.org/ZDB-GENE-050522-479</t>
  </si>
  <si>
    <t>proteasome subunit alpha 2 [Source:ZFIN;Acc:ZDB-GENE-050522-479]</t>
  </si>
  <si>
    <t>psma2</t>
  </si>
  <si>
    <t>ENSDARG00000040121</t>
  </si>
  <si>
    <t>http://zfin.org/ZDB-GENE-030131-5499</t>
  </si>
  <si>
    <t>CNDP dipeptidase 2 (metallopeptidase M20 family) [Source:ZFIN;Acc:ZDB-GENE-030131-5499]</t>
  </si>
  <si>
    <t>cndp2</t>
  </si>
  <si>
    <t>ENSDARG00000003931</t>
  </si>
  <si>
    <t>http://zfin.org/ZDB-GENE-030131-8417</t>
  </si>
  <si>
    <t>http://zfin.org/ZDB-GENE-040724-146</t>
  </si>
  <si>
    <t>transmembrane protein 242 [Source:ZFIN;Acc:ZDB-GENE-040724-146]</t>
  </si>
  <si>
    <t>tmem242</t>
  </si>
  <si>
    <t>ENSDARG00000037070</t>
  </si>
  <si>
    <t>http://zfin.org/ZDB-GENE-081104-140</t>
  </si>
  <si>
    <t>mitogen-activated protein kinase kinase kinase 19 [Source:ZFIN;Acc:ZDB-GENE-081104-140]</t>
  </si>
  <si>
    <t>map3k19</t>
  </si>
  <si>
    <t>ENSDARG00000094272</t>
  </si>
  <si>
    <t>http://zfin.org/ZDB-GENE-030131-2804</t>
  </si>
  <si>
    <t>http://zfin.org/ZDB-GENE-030131-1558</t>
  </si>
  <si>
    <t>RCD1 required for cell differentiation1 homolog (S. pombe) [Source:ZFIN;Acc:ZDB-GENE-030131-1558]</t>
  </si>
  <si>
    <t>rqcd1</t>
  </si>
  <si>
    <t>ENSDARG00000033855</t>
  </si>
  <si>
    <t>http://zfin.org/ZDB-GENE-030131-3085</t>
  </si>
  <si>
    <t>eukaryotic translation initiation factor 2, subunit 2 beta [Source:ZFIN;Acc:ZDB-GENE-030131-3085]</t>
  </si>
  <si>
    <t>eif2s2</t>
  </si>
  <si>
    <t>ENSDARG00000053047</t>
  </si>
  <si>
    <t>zinc finger protein 609  [Source:RefSeq peptide;Acc:NP_001025252]</t>
  </si>
  <si>
    <t>ZNF609 (1 of many)</t>
  </si>
  <si>
    <t>ENSDARG00000104530</t>
  </si>
  <si>
    <t>http://zfin.org/ZDB-GENE-040808-29</t>
  </si>
  <si>
    <t>developmentally regulated GTP binding protein 2 [Source:ZFIN;Acc:ZDB-GENE-040808-29]</t>
  </si>
  <si>
    <t>drg2</t>
  </si>
  <si>
    <t>ENSDARG00000006642</t>
  </si>
  <si>
    <t>http://zfin.org/ZDB-GENE-030131-4633</t>
  </si>
  <si>
    <t>si:ch211-253b8.2 [Source:ZFIN;Acc:ZDB-GENE-030131-4633]</t>
  </si>
  <si>
    <t>si:ch211-253b8.2</t>
  </si>
  <si>
    <t>ENSDARG00000089230</t>
  </si>
  <si>
    <t>http://zfin.org/ZDB-GENE-030131-4426</t>
  </si>
  <si>
    <t>http://zfin.org/ZDB-GENE-990415-248</t>
  </si>
  <si>
    <t>bromodomain containing 2a [Source:ZFIN;Acc:ZDB-GENE-990415-248]</t>
  </si>
  <si>
    <t>brd2a</t>
  </si>
  <si>
    <t>ENSDARG00000022280</t>
  </si>
  <si>
    <t>http://zfin.org/ZDB-GENE-030131-275</t>
  </si>
  <si>
    <t>heterogeneous nuclear ribonucleoprotein H1, like [Source:ZFIN;Acc:ZDB-GENE-030131-275]</t>
  </si>
  <si>
    <t>hnrnph1l</t>
  </si>
  <si>
    <t>ENSDARG00000005551</t>
  </si>
  <si>
    <t>http://zfin.org/ZDB-GENE-040718-204</t>
  </si>
  <si>
    <t>OTU deubiquitinase, ubiquitin aldehyde binding 1b [Source:ZFIN;Acc:ZDB-GENE-040718-204]</t>
  </si>
  <si>
    <t>otub1b</t>
  </si>
  <si>
    <t>ENSDARG00000011462</t>
  </si>
  <si>
    <t>http://zfin.org/ZDB-GENE-030131-8714</t>
  </si>
  <si>
    <t>ATP-binding cassette, sub-family F (GCN20), member 2a [Source:ZFIN;Acc:ZDB-GENE-030131-8714]</t>
  </si>
  <si>
    <t>abcf2a</t>
  </si>
  <si>
    <t>ENSDARG00000038785</t>
  </si>
  <si>
    <t>http://zfin.org/ZDB-GENE-030912-11</t>
  </si>
  <si>
    <t>http://zfin.org/ZDB-GENE-020419-30</t>
  </si>
  <si>
    <t>DEAD/H (Asp-Glu-Ala-Asp/His) box polypeptide 19 (DBP5 homolog, yeast) [Source:ZFIN;Acc:ZDB-GENE-020419-30]</t>
  </si>
  <si>
    <t>ddx19</t>
  </si>
  <si>
    <t>ENSDARG00000005699</t>
  </si>
  <si>
    <t>http://zfin.org/ZDB-GENE-030131-9031</t>
  </si>
  <si>
    <t>zinc finger, DHHC-type containing 4 [Source:ZFIN;Acc:ZDB-GENE-030131-9031]</t>
  </si>
  <si>
    <t>zdhhc4</t>
  </si>
  <si>
    <t>ENSDARG00000045159</t>
  </si>
  <si>
    <t>http://zfin.org/ZDB-GENE-030131-8680</t>
  </si>
  <si>
    <t>COP9 constitutive photomorphogenic homolog subunit 7A [Source:ZFIN;Acc:ZDB-GENE-030131-8680]</t>
  </si>
  <si>
    <t>cops7a</t>
  </si>
  <si>
    <t>ENSDARG00000022788</t>
  </si>
  <si>
    <t>http://zfin.org/ZDB-GENE-030131-66</t>
  </si>
  <si>
    <t>DnaJ (Hsp40) homolog, subfamily C, member 8 [Source:ZFIN;Acc:ZDB-GENE-030131-66]</t>
  </si>
  <si>
    <t>dnajc8</t>
  </si>
  <si>
    <t>ENSDARG00000059373</t>
  </si>
  <si>
    <t>http://zfin.org/ZDB-GENE-030131-330</t>
  </si>
  <si>
    <t>mitochondrial pyruvate carrier 2 [Source:ZFIN;Acc:ZDB-GENE-030131-330]</t>
  </si>
  <si>
    <t>mpc2</t>
  </si>
  <si>
    <t>ENSDARG00000024478</t>
  </si>
  <si>
    <t>http://zfin.org/ZDB-GENE-030131-6596</t>
  </si>
  <si>
    <t>si:dkey-42i9.6 [Source:ZFIN;Acc:ZDB-GENE-030131-6596]</t>
  </si>
  <si>
    <t>si:dkey-42i9.6</t>
  </si>
  <si>
    <t>ENSDARG00000013681</t>
  </si>
  <si>
    <t>http://zfin.org/ZDB-GENE-050522-30</t>
  </si>
  <si>
    <t>tRNA methyltransferase 11-2 homolog (S. cerevisiae) [Source:ZFIN;Acc:ZDB-GENE-050522-30]</t>
  </si>
  <si>
    <t>trmt112</t>
  </si>
  <si>
    <t>ENSDARG00000071878</t>
  </si>
  <si>
    <t>http://zfin.org/ZDB-GENE-030131-210</t>
  </si>
  <si>
    <t>http://zfin.org/ZDB-GENE-040826-2</t>
  </si>
  <si>
    <t>dual serine/threonine and tyrosine protein kinase [Source:ZFIN;Acc:ZDB-GENE-040826-2]</t>
  </si>
  <si>
    <t>dstyk</t>
  </si>
  <si>
    <t>ENSDARG00000000853</t>
  </si>
  <si>
    <t>http://zfin.org/ZDB-GENE-040426-1011</t>
  </si>
  <si>
    <t>glutaminyl-tRNA synthetase [Source:ZFIN;Acc:ZDB-GENE-040426-1011]</t>
  </si>
  <si>
    <t>qars</t>
  </si>
  <si>
    <t>ENSDARG00000010316</t>
  </si>
  <si>
    <t>http://zfin.org/ZDB-GENE-040426-1619</t>
  </si>
  <si>
    <t>zinc finger CCCH-type containing 13 [Source:ZFIN;Acc:ZDB-GENE-040426-1619]</t>
  </si>
  <si>
    <t>zc3h13</t>
  </si>
  <si>
    <t>ENSDARG00000037177</t>
  </si>
  <si>
    <t>http://zfin.org/ZDB-GENE-040516-9</t>
  </si>
  <si>
    <t>thyroid hormone receptor associated protein 3b [Source:ZFIN;Acc:ZDB-GENE-040516-9]</t>
  </si>
  <si>
    <t>thrap3b</t>
  </si>
  <si>
    <t>ENSDARG00000098228</t>
  </si>
  <si>
    <t>http://zfin.org/ZDB-GENE-030131-3782</t>
  </si>
  <si>
    <t>CTR9 homolog, Paf1/RNA polymerase II complex component [Source:ZFIN;Acc:ZDB-GENE-030131-3782]</t>
  </si>
  <si>
    <t>ctr9</t>
  </si>
  <si>
    <t>ENSDARG00000009170</t>
  </si>
  <si>
    <t>http://zfin.org/ZDB-GENE-040426-1728</t>
  </si>
  <si>
    <t>eukaryotic translation initiation factor 4E family member 2 related sequence 1 [Source:ZFIN;Acc:ZDB-GENE-040426-1728]</t>
  </si>
  <si>
    <t>eif4e2rs1</t>
  </si>
  <si>
    <t>ENSDARG00000015835</t>
  </si>
  <si>
    <t>http://zfin.org/ZDB-GENE-041021-2</t>
  </si>
  <si>
    <t>PAP associated domain containing 5 [Source:ZFIN;Acc:ZDB-GENE-041021-2]</t>
  </si>
  <si>
    <t>papd5</t>
  </si>
  <si>
    <t>ENSDARG00000060071</t>
  </si>
  <si>
    <t>http://zfin.org/ZDB-GENE-040426-2147</t>
  </si>
  <si>
    <t>dolichyl-diphosphooligosaccharide--protein glycosyltransferase subunit (non-catalytic) [Source:ZFIN;Acc:ZDB-GENE-040426-2147]</t>
  </si>
  <si>
    <t>ddost</t>
  </si>
  <si>
    <t>ENSDARG00000037318</t>
  </si>
  <si>
    <t>http://zfin.org/ZDB-GENE-061013-552</t>
  </si>
  <si>
    <t>transcription factor A, mitochondrial [Source:ZFIN;Acc:ZDB-GENE-061013-552]</t>
  </si>
  <si>
    <t>tfam</t>
  </si>
  <si>
    <t>ENSDARG00000063145</t>
  </si>
  <si>
    <t>http://zfin.org/ZDB-GENE-030131-5871</t>
  </si>
  <si>
    <t>low density lipoprotein receptor-related protein associated protein 1 [Source:ZFIN;Acc:ZDB-GENE-030131-5871]</t>
  </si>
  <si>
    <t>lrpap1</t>
  </si>
  <si>
    <t>ENSDARG00000033604</t>
  </si>
  <si>
    <t>http://zfin.org/ZDB-GENE-060825-144</t>
  </si>
  <si>
    <t>http://zfin.org/ZDB-GENE-050706-68</t>
  </si>
  <si>
    <t>terminal uridylyl transferase 1, U6 snRNA-specific [Source:ZFIN;Acc:ZDB-GENE-050706-68]</t>
  </si>
  <si>
    <t>tut1</t>
  </si>
  <si>
    <t>ENSDARG00000057321</t>
  </si>
  <si>
    <t>http://zfin.org/ZDB-GENE-040801-68</t>
  </si>
  <si>
    <t>LSM1, U6 small nuclear RNA associated [Source:ZFIN;Acc:ZDB-GENE-040801-68]</t>
  </si>
  <si>
    <t>lsm1</t>
  </si>
  <si>
    <t>ENSDARG00000043177</t>
  </si>
  <si>
    <t>http://zfin.org/ZDB-GENE-030131-362</t>
  </si>
  <si>
    <t>PNN-interacting serine/arginine-rich protein [Source:ZFIN;Acc:ZDB-GENE-030131-362]</t>
  </si>
  <si>
    <t>pnisr</t>
  </si>
  <si>
    <t>ENSDARG00000069855</t>
  </si>
  <si>
    <t>http://zfin.org/ZDB-GENE-050417-28</t>
  </si>
  <si>
    <t>proteasome 26S subunit, non-ATPase 5 [Source:ZFIN;Acc:ZDB-GENE-050417-28]</t>
  </si>
  <si>
    <t>psmd5</t>
  </si>
  <si>
    <t>ENSDARG00000059046</t>
  </si>
  <si>
    <t>http://zfin.org/ZDB-GENE-030616-156</t>
  </si>
  <si>
    <t>splicing factor 3a, subunit 1 [Source:ZFIN;Acc:ZDB-GENE-030616-156]</t>
  </si>
  <si>
    <t>sf3a1</t>
  </si>
  <si>
    <t>ENSDARG00000041887</t>
  </si>
  <si>
    <t>http://zfin.org/ZDB-GENE-030616-159</t>
  </si>
  <si>
    <t>G patch domain and KOW motifs [Source:ZFIN;Acc:ZDB-GENE-030616-159]</t>
  </si>
  <si>
    <t>gpkow</t>
  </si>
  <si>
    <t>ENSDARG00000029612</t>
  </si>
  <si>
    <t>http://zfin.org/ZDB-GENE-040801-86</t>
  </si>
  <si>
    <t>surfeit 2 [Source:ZFIN;Acc:ZDB-GENE-040801-86]</t>
  </si>
  <si>
    <t>surf2</t>
  </si>
  <si>
    <t>ENSDARG00000037182</t>
  </si>
  <si>
    <t>http://zfin.org/ZDB-GENE-050417-65</t>
  </si>
  <si>
    <t>ENSDARG00000068436</t>
  </si>
  <si>
    <t>http://zfin.org/ZDB-GENE-080709-1</t>
  </si>
  <si>
    <t>http://zfin.org/ZDB-GENE-040426-1817</t>
  </si>
  <si>
    <t>zinc finger protein 410 [Source:ZFIN;Acc:ZDB-GENE-040426-1817]</t>
  </si>
  <si>
    <t>znf410</t>
  </si>
  <si>
    <t>ENSDARG00000008218</t>
  </si>
  <si>
    <t>CR589944.1</t>
  </si>
  <si>
    <t>ENSDARG00000096988</t>
  </si>
  <si>
    <t>http://zfin.org/ZDB-GENE-030131-4918</t>
  </si>
  <si>
    <t>http://zfin.org/ZDB-GENE-050417-176</t>
  </si>
  <si>
    <t>http://zfin.org/ZDB-GENE-030131-6657</t>
  </si>
  <si>
    <t>barrier to autointegration factor 1 [Source:ZFIN;Acc:ZDB-GENE-030131-6657]</t>
  </si>
  <si>
    <t>banf1</t>
  </si>
  <si>
    <t>ENSDARG00000037009</t>
  </si>
  <si>
    <t>http://zfin.org/ZDB-GENE-030131-879</t>
  </si>
  <si>
    <t>protein disulfide isomerase family A, member 6 [Source:ZFIN;Acc:ZDB-GENE-030131-879]</t>
  </si>
  <si>
    <t>pdia6</t>
  </si>
  <si>
    <t>ENSDARG00000009001</t>
  </si>
  <si>
    <t>http://zfin.org/ZDB-GENE-060825-91</t>
  </si>
  <si>
    <t>http://zfin.org/ZDB-GENE-060929-1082</t>
  </si>
  <si>
    <t>mitochondrial ribosomal protein L35 [Source:ZFIN;Acc:ZDB-GENE-060929-1082]</t>
  </si>
  <si>
    <t>mrpl35</t>
  </si>
  <si>
    <t>ENSDARG00000070589</t>
  </si>
  <si>
    <t>http://zfin.org/ZDB-GENE-090508-16</t>
  </si>
  <si>
    <t>http://zfin.org/ZDB-GENE-080204-83</t>
  </si>
  <si>
    <t>http://zfin.org/ZDB-GENE-030131-464</t>
  </si>
  <si>
    <t>WD repeat domain 36 [Source:ZFIN;Acc:ZDB-GENE-030131-464]</t>
  </si>
  <si>
    <t>wdr36</t>
  </si>
  <si>
    <t>ENSDARG00000004774</t>
  </si>
  <si>
    <t>http://zfin.org/ZDB-GENE-050706-71</t>
  </si>
  <si>
    <t>echinoderm microtubule associated protein like 2 [Source:ZFIN;Acc:ZDB-GENE-050706-71]</t>
  </si>
  <si>
    <t>eml2</t>
  </si>
  <si>
    <t>ENSDARG00000008808</t>
  </si>
  <si>
    <t>http://zfin.org/ZDB-GENE-990415-95</t>
  </si>
  <si>
    <t>http://zfin.org/ZDB-GENE-040426-2273</t>
  </si>
  <si>
    <t>zinc finger protein 207, a [Source:ZFIN;Acc:ZDB-GENE-040426-2273]</t>
  </si>
  <si>
    <t>znf207a</t>
  </si>
  <si>
    <t>ENSDARG00000015538</t>
  </si>
  <si>
    <t>http://zfin.org/ZDB-GENE-040109-1</t>
  </si>
  <si>
    <t>NOP56 ribonucleoprotein homolog [Source:ZFIN;Acc:ZDB-GENE-040109-1]</t>
  </si>
  <si>
    <t>nop56</t>
  </si>
  <si>
    <t>ENSDARG00000012820</t>
  </si>
  <si>
    <t>http://zfin.org/ZDB-GENE-040426-1546</t>
  </si>
  <si>
    <t>heterogeneous nuclear ribonucleoprotein A1a [Source:ZFIN;Acc:ZDB-GENE-040426-1546]</t>
  </si>
  <si>
    <t>hnrnpa1a</t>
  </si>
  <si>
    <t>ENSDARG00000011020</t>
  </si>
  <si>
    <t>http://zfin.org/ZDB-GENE-030131-3544</t>
  </si>
  <si>
    <t>general transcription factor IIB [Source:ZFIN;Acc:ZDB-GENE-030131-3544]</t>
  </si>
  <si>
    <t>gtf2b</t>
  </si>
  <si>
    <t>ENSDARG00000103578</t>
  </si>
  <si>
    <t>http://zfin.org/ZDB-GENE-040426-1094</t>
  </si>
  <si>
    <t>transformer 2 beta homolog (Drosophila) [Source:ZFIN;Acc:ZDB-GENE-040426-1094]</t>
  </si>
  <si>
    <t>tra2b</t>
  </si>
  <si>
    <t>ENSDARG00000002168</t>
  </si>
  <si>
    <t>http://zfin.org/ZDB-GENE-050417-274</t>
  </si>
  <si>
    <t>NADH dehydrogenase (ubiquinone) Fe-S protein 3, (NADH-coenzyme Q reductase) [Source:ZFIN;Acc:ZDB-GENE-050417-274]</t>
  </si>
  <si>
    <t>ndufs3</t>
  </si>
  <si>
    <t>ENSDARG00000015385</t>
  </si>
  <si>
    <t>http://zfin.org/ZDB-GENE-040426-2051</t>
  </si>
  <si>
    <t>ubiquitin carboxyl-terminal hydrolase L5 [Source:ZFIN;Acc:ZDB-GENE-040426-2051]</t>
  </si>
  <si>
    <t>uchl5</t>
  </si>
  <si>
    <t>ENSDARG00000103404</t>
  </si>
  <si>
    <t>http://zfin.org/ZDB-GENE-040426-2289</t>
  </si>
  <si>
    <t>poly (ADP-ribose) polymerase family, member 16 [Source:ZFIN;Acc:ZDB-GENE-040426-2289]</t>
  </si>
  <si>
    <t>parp16</t>
  </si>
  <si>
    <t>ENSDARG00000018593</t>
  </si>
  <si>
    <t>http://zfin.org/ZDB-GENE-021030-3</t>
  </si>
  <si>
    <t>cystathionine-beta-synthase b [Source:ZFIN;Acc:ZDB-GENE-021030-3]</t>
  </si>
  <si>
    <t>cbsb</t>
  </si>
  <si>
    <t>ENSDARG00000010946</t>
  </si>
  <si>
    <t>http://zfin.org/ZDB-GENE-090312-92</t>
  </si>
  <si>
    <t>zinc finger, DHHC-type containing 5a [Source:ZFIN;Acc:ZDB-GENE-090312-92]</t>
  </si>
  <si>
    <t>zdhhc5a</t>
  </si>
  <si>
    <t>ENSDARG00000016263</t>
  </si>
  <si>
    <t>http://zfin.org/ZDB-GENE-050417-375</t>
  </si>
  <si>
    <t>pyrophosphatase (inorganic) 1b [Source:ZFIN;Acc:ZDB-GENE-050417-375]</t>
  </si>
  <si>
    <t>ppa1b</t>
  </si>
  <si>
    <t>ENSDARG00000030441</t>
  </si>
  <si>
    <t>BX469930.1</t>
  </si>
  <si>
    <t>ENSDARG00000092358</t>
  </si>
  <si>
    <t>http://zfin.org/ZDB-GENE-030131-223</t>
  </si>
  <si>
    <t>Sjogren syndrome antigen B (autoantigen La) [Source:ZFIN;Acc:ZDB-GENE-030131-223]</t>
  </si>
  <si>
    <t>ssb</t>
  </si>
  <si>
    <t>ENSDARG00000029252</t>
  </si>
  <si>
    <t>http://zfin.org/ZDB-GENE-040426-1309</t>
  </si>
  <si>
    <t>cell division cycle 73, Paf1/RNA polymerase II complex component, homolog (S. cerevisiae) [Source:ZFIN;Acc:ZDB-GENE-040426-1309]</t>
  </si>
  <si>
    <t>cdc73</t>
  </si>
  <si>
    <t>ENSDARG00000020201</t>
  </si>
  <si>
    <t>http://zfin.org/ZDB-GENE-030131-269</t>
  </si>
  <si>
    <t>http://zfin.org/ZDB-GENE-061027-183</t>
  </si>
  <si>
    <t>mitochondrial ribosomal protein L21 [Source:ZFIN;Acc:ZDB-GENE-061027-183]</t>
  </si>
  <si>
    <t>mrpl21</t>
  </si>
  <si>
    <t>ENSDARG00000003846</t>
  </si>
  <si>
    <t>http://zfin.org/ZDB-GENE-040718-206</t>
  </si>
  <si>
    <t>N-6 adenine-specific DNA methyltransferase 1 (putative) [Source:ZFIN;Acc:ZDB-GENE-040718-206]</t>
  </si>
  <si>
    <t>n6amt1</t>
  </si>
  <si>
    <t>ENSDARG00000035776</t>
  </si>
  <si>
    <t>http://zfin.org/ZDB-GENE-041010-154</t>
  </si>
  <si>
    <t>http://zfin.org/ZDB-GENE-100215-2</t>
  </si>
  <si>
    <t>eukaryotic translation initiation factor 3, subunit F [Source:ZFIN;Acc:ZDB-GENE-100215-2]</t>
  </si>
  <si>
    <t>eif3f</t>
  </si>
  <si>
    <t>ENSDARG00000077533</t>
  </si>
  <si>
    <t>http://zfin.org/ZDB-GENE-030131-1873</t>
  </si>
  <si>
    <t>periphilin 1 [Source:ZFIN;Acc:ZDB-GENE-030131-1873]</t>
  </si>
  <si>
    <t>pphln1</t>
  </si>
  <si>
    <t>ENSDARG00000045692</t>
  </si>
  <si>
    <t>http://zfin.org/ZDB-GENE-040718-136</t>
  </si>
  <si>
    <t>http://zfin.org/ZDB-GENE-140909-1</t>
  </si>
  <si>
    <t>SCO1 cytochrome c oxidase assembly protein [Source:ZFIN;Acc:ZDB-GENE-140909-1]</t>
  </si>
  <si>
    <t>sco1</t>
  </si>
  <si>
    <t>ENSDARG00000067593</t>
  </si>
  <si>
    <t>http://zfin.org/ZDB-GENE-041008-136</t>
  </si>
  <si>
    <t>topoisomerase (DNA) II beta [Source:ZFIN;Acc:ZDB-GENE-041008-136]</t>
  </si>
  <si>
    <t>top2b</t>
  </si>
  <si>
    <t>ENSDARG00000034195</t>
  </si>
  <si>
    <t>http://zfin.org/ZDB-GENE-030131-5547</t>
  </si>
  <si>
    <t>http://zfin.org/ZDB-GENE-030131-5126</t>
  </si>
  <si>
    <t>cyclin K [Source:ZFIN;Acc:ZDB-GENE-030131-5126]</t>
  </si>
  <si>
    <t>ccnk</t>
  </si>
  <si>
    <t>ENSDARG00000034146</t>
  </si>
  <si>
    <t>http://zfin.org/ZDB-GENE-041008-214</t>
  </si>
  <si>
    <t>si:ch73-37h15.2 [Source:ZFIN;Acc:ZDB-GENE-041008-214]</t>
  </si>
  <si>
    <t>si:ch73-37h15.2</t>
  </si>
  <si>
    <t>ENSDARG00000094107</t>
  </si>
  <si>
    <t>http://zfin.org/ZDB-GENE-050417-416</t>
  </si>
  <si>
    <t>Finkel-Biskis-Reilly murine sarcoma virus (FBR-MuSV) ubiquitously expressed b [Source:ZFIN;Acc:ZDB-GENE-050417-416]</t>
  </si>
  <si>
    <t>faub</t>
  </si>
  <si>
    <t>ENSDARG00000043663</t>
  </si>
  <si>
    <t>http://zfin.org/ZDB-GENE-050104-1</t>
  </si>
  <si>
    <t>PERP, TP53 apoptosis effector [Source:ZFIN;Acc:ZDB-GENE-050104-1]</t>
  </si>
  <si>
    <t>perp</t>
  </si>
  <si>
    <t>ENSDARG00000063572</t>
  </si>
  <si>
    <t>http://zfin.org/ZDB-GENE-040426-1483</t>
  </si>
  <si>
    <t>coiled-coil domain containing 124 [Source:ZFIN;Acc:ZDB-GENE-040426-1483]</t>
  </si>
  <si>
    <t>ccdc124</t>
  </si>
  <si>
    <t>ENSDARG00000043502</t>
  </si>
  <si>
    <t>http://zfin.org/ZDB-GENE-040426-895</t>
  </si>
  <si>
    <t>phosphatidylinositol transfer protein, beta [Source:ZFIN;Acc:ZDB-GENE-040426-895]</t>
  </si>
  <si>
    <t>pitpnb</t>
  </si>
  <si>
    <t>ENSDARG00000036005</t>
  </si>
  <si>
    <t>http://zfin.org/ZDB-GENE-050720-3</t>
  </si>
  <si>
    <t>dihydropyrimidinase-like 4 [Source:ZFIN;Acc:ZDB-GENE-050720-3]</t>
  </si>
  <si>
    <t>dpysl4</t>
  </si>
  <si>
    <t>ENSDARG00000103490</t>
  </si>
  <si>
    <t>BX005309.1</t>
  </si>
  <si>
    <t>ENSDARG00000093535</t>
  </si>
  <si>
    <t>http://zfin.org/ZDB-GENE-041010-92</t>
  </si>
  <si>
    <t>serine/threonine kinase 25a [Source:ZFIN;Acc:ZDB-GENE-041010-92]</t>
  </si>
  <si>
    <t>stk25a</t>
  </si>
  <si>
    <t>ENSDARG00000002210</t>
  </si>
  <si>
    <t>http://zfin.org/ZDB-GENE-050417-112</t>
  </si>
  <si>
    <t>proline rich Gla (G-carboxyglutamic acid) 4 (transmembrane) [Source:ZFIN;Acc:ZDB-GENE-050417-112]</t>
  </si>
  <si>
    <t>prrg4</t>
  </si>
  <si>
    <t>ENSDARG00000030753</t>
  </si>
  <si>
    <t>http://zfin.org/ZDB-GENE-050417-45</t>
  </si>
  <si>
    <t>eukaryotic translation initiation factor 3, subunit K [Source:ZFIN;Acc:ZDB-GENE-050417-45]</t>
  </si>
  <si>
    <t>eif3k</t>
  </si>
  <si>
    <t>ENSDARG00000068289</t>
  </si>
  <si>
    <t>http://zfin.org/ZDB-GENE-030131-9832</t>
  </si>
  <si>
    <t>zgc:66433 [Source:ZFIN;Acc:ZDB-GENE-030131-9832]</t>
  </si>
  <si>
    <t>zgc:66433</t>
  </si>
  <si>
    <t>ENSDARG00000071697</t>
  </si>
  <si>
    <t>http://zfin.org/ZDB-GENE-001030-4</t>
  </si>
  <si>
    <t>paired box 2b [Source:ZFIN;Acc:ZDB-GENE-001030-4]</t>
  </si>
  <si>
    <t>pax2b</t>
  </si>
  <si>
    <t>ENSDARG00000032578</t>
  </si>
  <si>
    <t>http://zfin.org/ZDB-GENE-040718-302</t>
  </si>
  <si>
    <t>general transcription factor IIH, polypeptide 3 [Source:ZFIN;Acc:ZDB-GENE-040718-302]</t>
  </si>
  <si>
    <t>gtf2h3</t>
  </si>
  <si>
    <t>ENSDARG00000067560</t>
  </si>
  <si>
    <t>http://zfin.org/ZDB-GENE-040625-116</t>
  </si>
  <si>
    <t>poly-U binding splicing factor b [Source:ZFIN;Acc:ZDB-GENE-040625-116]</t>
  </si>
  <si>
    <t>puf60b</t>
  </si>
  <si>
    <t>ENSDARG00000001241</t>
  </si>
  <si>
    <t>http://zfin.org/ZDB-GENE-040426-1285</t>
  </si>
  <si>
    <t>tetraspanin 12 [Source:ZFIN;Acc:ZDB-GENE-040426-1285]</t>
  </si>
  <si>
    <t>tspan12</t>
  </si>
  <si>
    <t>ENSDARG00000032389</t>
  </si>
  <si>
    <t>http://zfin.org/ZDB-GENE-991008-16</t>
  </si>
  <si>
    <t>SWI/SNF related, matrix associated, actin dependent regulator of chromatin, subfamily b, member 1b [Source:ZFIN;Acc:ZDB-GENE-991008-16]</t>
  </si>
  <si>
    <t>smarcb1b</t>
  </si>
  <si>
    <t>ENSDARG00000011594</t>
  </si>
  <si>
    <t>http://zfin.org/ZDB-GENE-050522-151</t>
  </si>
  <si>
    <t>http://zfin.org/ZDB-GENE-040801-268</t>
  </si>
  <si>
    <t>http://zfin.org/ZDB-GENE-040426-1882</t>
  </si>
  <si>
    <t>http://zfin.org/ZDB-GENE-090313-83</t>
  </si>
  <si>
    <t>Rho guanine nucleotide exchange factor (GEF) 38 [Source:ZFIN;Acc:ZDB-GENE-090313-83]</t>
  </si>
  <si>
    <t>arhgef38</t>
  </si>
  <si>
    <t>ENSDARG00000079377</t>
  </si>
  <si>
    <t>http://zfin.org/ZDB-GENE-030131-7440</t>
  </si>
  <si>
    <t>trinucleotide repeat containing 6C1 [Source:ZFIN;Acc:ZDB-GENE-030131-7440]</t>
  </si>
  <si>
    <t>tnrc6c1</t>
  </si>
  <si>
    <t>ENSDARG00000076847</t>
  </si>
  <si>
    <t>BX323590.2</t>
  </si>
  <si>
    <t>ENSDARG00000095388</t>
  </si>
  <si>
    <t>http://zfin.org/ZDB-GENE-031019-1</t>
  </si>
  <si>
    <t>translocase of inner mitochondrial membrane 8 homolog B (yeast) [Source:ZFIN;Acc:ZDB-GENE-031019-1]</t>
  </si>
  <si>
    <t>timm8b</t>
  </si>
  <si>
    <t>ENSDARG00000055708</t>
  </si>
  <si>
    <t>http://zfin.org/ZDB-GENE-061009-11</t>
  </si>
  <si>
    <t>si:ch211-217k17.7 [Source:ZFIN;Acc:ZDB-GENE-061009-11]</t>
  </si>
  <si>
    <t>si:ch211-217k17.7</t>
  </si>
  <si>
    <t>ENSDARG00000059908</t>
  </si>
  <si>
    <t>http://zfin.org/ZDB-GENE-130530-633</t>
  </si>
  <si>
    <t>formin binding protein 4 [Source:ZFIN;Acc:ZDB-GENE-130530-633]</t>
  </si>
  <si>
    <t>fnbp4</t>
  </si>
  <si>
    <t>ENSDARG00000051800</t>
  </si>
  <si>
    <t>http://zfin.org/ZDB-GENE-040115-4</t>
  </si>
  <si>
    <t>profilin 2 [Source:ZFIN;Acc:ZDB-GENE-040115-4]</t>
  </si>
  <si>
    <t>pfn2</t>
  </si>
  <si>
    <t>ENSDARG00000003952</t>
  </si>
  <si>
    <t>http://zfin.org/ZDB-GENE-030131-6725</t>
  </si>
  <si>
    <t>transcriptional adaptor 3 (NGG1 homolog, yeast)-like [Source:ZFIN;Acc:ZDB-GENE-030131-6725]</t>
  </si>
  <si>
    <t>tada3l</t>
  </si>
  <si>
    <t>ENSDARG00000058220</t>
  </si>
  <si>
    <t>http://zfin.org/ZDB-GENE-980526-150</t>
  </si>
  <si>
    <t>DEAD (Asp-Glu-Ala-Asp) box helicase 3b [Source:ZFIN;Acc:ZDB-GENE-980526-150]</t>
  </si>
  <si>
    <t>ddx3b</t>
  </si>
  <si>
    <t>ENSDARG00000005774</t>
  </si>
  <si>
    <t>http://zfin.org/ZDB-GENE-041114-64</t>
  </si>
  <si>
    <t>http://zfin.org/ZDB-GENE-030131-5056</t>
  </si>
  <si>
    <t>glutamate-cysteine ligase, catalytic subunit [Source:ZFIN;Acc:ZDB-GENE-030131-5056]</t>
  </si>
  <si>
    <t>gclc</t>
  </si>
  <si>
    <t>ENSDARG00000013095</t>
  </si>
  <si>
    <t>http://zfin.org/ZDB-GENE-040426-2901</t>
  </si>
  <si>
    <t>splicing factor 3b, subunit 3 [Source:ZFIN;Acc:ZDB-GENE-040426-2901]</t>
  </si>
  <si>
    <t>sf3b3</t>
  </si>
  <si>
    <t>ENSDARG00000103553</t>
  </si>
  <si>
    <t>http://zfin.org/ZDB-GENE-040322-2</t>
  </si>
  <si>
    <t>ras homolog gene family, member Ab [Source:ZFIN;Acc:ZDB-GENE-040322-2]</t>
  </si>
  <si>
    <t>rhoab</t>
  </si>
  <si>
    <t>ENSDARG00000094673</t>
  </si>
  <si>
    <t>http://zfin.org/ZDB-GENE-050417-161</t>
  </si>
  <si>
    <t>TP53 regulated inhibitor of apoptosis 1 [Source:ZFIN;Acc:ZDB-GENE-050417-161]</t>
  </si>
  <si>
    <t>triap1</t>
  </si>
  <si>
    <t>ENSDARG00000014963</t>
  </si>
  <si>
    <t>http://zfin.org/ZDB-GENE-040718-295</t>
  </si>
  <si>
    <t>neural precursor cell expressed, developmentally down-regulated 8, like [Source:ZFIN;Acc:ZDB-GENE-040718-295]</t>
  </si>
  <si>
    <t>nedd8l</t>
  </si>
  <si>
    <t>ENSDARG00000103472</t>
  </si>
  <si>
    <t>http://zfin.org/ZDB-GENE-100422-17</t>
  </si>
  <si>
    <t>interferon stimulated exonuclease gene [Source:ZFIN;Acc:ZDB-GENE-100422-17]</t>
  </si>
  <si>
    <t>isg20</t>
  </si>
  <si>
    <t>ENSDARG00000079783</t>
  </si>
  <si>
    <t>http://zfin.org/ZDB-GENE-040426-2457</t>
  </si>
  <si>
    <t>arginine/serine-rich coiled-coil 2 [Source:ZFIN;Acc:ZDB-GENE-040426-2457]</t>
  </si>
  <si>
    <t>rsrc2</t>
  </si>
  <si>
    <t>ENSDARG00000042534</t>
  </si>
  <si>
    <t>http://zfin.org/ZDB-GENE-070705-218</t>
  </si>
  <si>
    <t>inosine triphosphatase (nucleoside triphosphate pyrophosphatase) [Source:ZFIN;Acc:ZDB-GENE-070705-218]</t>
  </si>
  <si>
    <t>itpa</t>
  </si>
  <si>
    <t>ENSDARG00000057529</t>
  </si>
  <si>
    <t>http://zfin.org/ZDB-GENE-041010-77</t>
  </si>
  <si>
    <t>nuclear transport factor 2 [Source:ZFIN;Acc:ZDB-GENE-041010-77]</t>
  </si>
  <si>
    <t>nutf2</t>
  </si>
  <si>
    <t>ENSDARG00000056531</t>
  </si>
  <si>
    <t>http://zfin.org/ZDB-GENE-090313-81</t>
  </si>
  <si>
    <t>si:ch211-210c8.7 [Source:ZFIN;Acc:ZDB-GENE-090313-81]</t>
  </si>
  <si>
    <t>si:ch211-210c8.7</t>
  </si>
  <si>
    <t>ENSDARG00000092856</t>
  </si>
  <si>
    <t>http://zfin.org/ZDB-GENE-081104-234</t>
  </si>
  <si>
    <t>si:ch211-51h9.6 [Source:ZFIN;Acc:ZDB-GENE-081104-234]</t>
  </si>
  <si>
    <t>si:ch211-51h9.6</t>
  </si>
  <si>
    <t>ENSDARG00000092360</t>
  </si>
  <si>
    <t>http://zfin.org/ZDB-GENE-030131-4437</t>
  </si>
  <si>
    <t>http://zfin.org/ZDB-GENE-030131-8563</t>
  </si>
  <si>
    <t>eukaryotic translation initiation factor 4Bb [Source:ZFIN;Acc:ZDB-GENE-030131-8563]</t>
  </si>
  <si>
    <t>eif4bb</t>
  </si>
  <si>
    <t>ENSDARG00000010194</t>
  </si>
  <si>
    <t>http://zfin.org/ZDB-GENE-030131-662</t>
  </si>
  <si>
    <t>ubiquitin-conjugating enzyme E2L 3b [Source:ZFIN;Acc:ZDB-GENE-030131-662]</t>
  </si>
  <si>
    <t>ube2l3b</t>
  </si>
  <si>
    <t>ENSDARG00000027141</t>
  </si>
  <si>
    <t>http://zfin.org/ZDB-GENE-011205-7</t>
  </si>
  <si>
    <t>NADH dehydrogenase 1, mitochondrial [Source:ZFIN;Acc:ZDB-GENE-011205-7]</t>
  </si>
  <si>
    <t>mt-nd1</t>
  </si>
  <si>
    <t>ENSDARG00000063895</t>
  </si>
  <si>
    <t>http://zfin.org/ZDB-GENE-030131-3275</t>
  </si>
  <si>
    <t>cleavage and polyadenylation specific factor 3 [Source:ZFIN;Acc:ZDB-GENE-030131-3275]</t>
  </si>
  <si>
    <t>cpsf3</t>
  </si>
  <si>
    <t>ENSDARG00000027649</t>
  </si>
  <si>
    <t>http://zfin.org/ZDB-GENE-040426-2698</t>
  </si>
  <si>
    <t>zgc:56304 [Source:ZFIN;Acc:ZDB-GENE-040426-2698]</t>
  </si>
  <si>
    <t>zgc:56304</t>
  </si>
  <si>
    <t>ENSDARG00000074572</t>
  </si>
  <si>
    <t>CT737210.1</t>
  </si>
  <si>
    <t>ENSDARG00000101357</t>
  </si>
  <si>
    <t>http://zfin.org/ZDB-GENE-040426-1082</t>
  </si>
  <si>
    <t>zgc:56576 [Source:ZFIN;Acc:ZDB-GENE-040426-1082]</t>
  </si>
  <si>
    <t>zgc:56576</t>
  </si>
  <si>
    <t>ENSDARG00000009253</t>
  </si>
  <si>
    <t>http://zfin.org/ZDB-GENE-030131-4801</t>
  </si>
  <si>
    <t>PAXIP1 associated glutamate-rich protein 1 [Source:ZFIN;Acc:ZDB-GENE-030131-4801]</t>
  </si>
  <si>
    <t>pagr1</t>
  </si>
  <si>
    <t>ENSDARG00000076966</t>
  </si>
  <si>
    <t>http://zfin.org/ZDB-GENE-030131-1319</t>
  </si>
  <si>
    <t>eukaryotic translation initiation factor 1A, X-linked, b [Source:ZFIN;Acc:ZDB-GENE-030131-1319]</t>
  </si>
  <si>
    <t>eif1axb</t>
  </si>
  <si>
    <t>ENSDARG00000057912</t>
  </si>
  <si>
    <t>http://zfin.org/ZDB-GENE-040426-1024</t>
  </si>
  <si>
    <t>ring finger protein 181 [Source:ZFIN;Acc:ZDB-GENE-040426-1024]</t>
  </si>
  <si>
    <t>rnf181</t>
  </si>
  <si>
    <t>ENSDARG00000023958</t>
  </si>
  <si>
    <t>http://zfin.org/ZDB-GENE-030131-1016</t>
  </si>
  <si>
    <t>asparaginyl-tRNA synthetase [Source:ZFIN;Acc:ZDB-GENE-030131-1016]</t>
  </si>
  <si>
    <t>nars</t>
  </si>
  <si>
    <t>ENSDARG00000061100</t>
  </si>
  <si>
    <t>http://zfin.org/ZDB-GENE-050522-167</t>
  </si>
  <si>
    <t>mitochondrial ribosomal protein L13 [Source:ZFIN;Acc:ZDB-GENE-050522-167]</t>
  </si>
  <si>
    <t>mrpl13</t>
  </si>
  <si>
    <t>ENSDARG00000056903</t>
  </si>
  <si>
    <t>http://zfin.org/ZDB-GENE-020731-5</t>
  </si>
  <si>
    <t>http://zfin.org/ZDB-GENE-050522-256</t>
  </si>
  <si>
    <t>NIP7, nucleolar pre-rRNA processing protein [Source:ZFIN;Acc:ZDB-GENE-050522-256]</t>
  </si>
  <si>
    <t>nip7</t>
  </si>
  <si>
    <t>ENSDARG00000059075</t>
  </si>
  <si>
    <t>http://zfin.org/ZDB-GENE-121120-2</t>
  </si>
  <si>
    <t>solute carrier family 7 (amino acid transporter light chain, L system), member 8a [Source:ZFIN;Acc:ZDB-GENE-121120-2]</t>
  </si>
  <si>
    <t>slc7a8a</t>
  </si>
  <si>
    <t>ENSDARG00000075831</t>
  </si>
  <si>
    <t>http://zfin.org/ZDB-GENE-040426-2681</t>
  </si>
  <si>
    <t>ubiquitin-like modifier activating enzyme 2 [Source:ZFIN;Acc:ZDB-GENE-040426-2681]</t>
  </si>
  <si>
    <t>uba2</t>
  </si>
  <si>
    <t>ENSDARG00000101332</t>
  </si>
  <si>
    <t>http://zfin.org/ZDB-GENE-040426-960</t>
  </si>
  <si>
    <t>http://zfin.org/ZDB-GENE-040930-1</t>
  </si>
  <si>
    <t>http://zfin.org/ZDB-GENE-030131-457</t>
  </si>
  <si>
    <t>SAP30 binding protein [Source:ZFIN;Acc:ZDB-GENE-030131-457]</t>
  </si>
  <si>
    <t>sap30bp</t>
  </si>
  <si>
    <t>ENSDARG00000031261</t>
  </si>
  <si>
    <t>http://zfin.org/ZDB-GENE-040426-2534</t>
  </si>
  <si>
    <t>ATP synthase, H+ transporting, mitochondrial Fo complex, subunit F6 [Source:ZFIN;Acc:ZDB-GENE-040426-2534]</t>
  </si>
  <si>
    <t>atp5j</t>
  </si>
  <si>
    <t>ENSDARG00000014313</t>
  </si>
  <si>
    <t>http://zfin.org/ZDB-GENE-030131-5512</t>
  </si>
  <si>
    <t>protein phosphatase 1, catalytic subunit, alpha isozyme b [Source:ZFIN;Acc:ZDB-GENE-030131-5512]</t>
  </si>
  <si>
    <t>ppp1cab</t>
  </si>
  <si>
    <t>ENSDARG00000071566</t>
  </si>
  <si>
    <t>http://zfin.org/ZDB-GENE-010718-1</t>
  </si>
  <si>
    <t>http://zfin.org/ZDB-GENE-040426-980</t>
  </si>
  <si>
    <t>programmed cell death 5 [Source:ZFIN;Acc:ZDB-GENE-040426-980]</t>
  </si>
  <si>
    <t>pdcd5</t>
  </si>
  <si>
    <t>ENSDARG00000026072</t>
  </si>
  <si>
    <t>http://zfin.org/ZDB-GENE-040801-126</t>
  </si>
  <si>
    <t>cannabinoid receptor interacting protein 1a [Source:ZFIN;Acc:ZDB-GENE-040801-126]</t>
  </si>
  <si>
    <t>cnrip1a</t>
  </si>
  <si>
    <t>ENSDARG00000091683</t>
  </si>
  <si>
    <t>http://zfin.org/ZDB-GENE-030131-8049</t>
  </si>
  <si>
    <t>transcription elongation factor A (SII), 1 [Source:ZFIN;Acc:ZDB-GENE-030131-8049]</t>
  </si>
  <si>
    <t>tcea1</t>
  </si>
  <si>
    <t>ENSDARG00000003531</t>
  </si>
  <si>
    <t>tubby like protein 3 [Source:HGNC Symbol;Acc:HGNC:12425]</t>
  </si>
  <si>
    <t>TULP3</t>
  </si>
  <si>
    <t>ENSDARG00000063672</t>
  </si>
  <si>
    <t>http://zfin.org/ZDB-GENE-030131-6137</t>
  </si>
  <si>
    <t>family with sequence similarity 3, member C [Source:ZFIN;Acc:ZDB-GENE-030131-6137]</t>
  </si>
  <si>
    <t>fam3c</t>
  </si>
  <si>
    <t>ENSDARG00000056152</t>
  </si>
  <si>
    <t>http://zfin.org/ZDB-GENE-040426-915</t>
  </si>
  <si>
    <t>http://zfin.org/ZDB-GENE-050320-39</t>
  </si>
  <si>
    <t>BRCA2 and CDKN1A interacting protein [Source:ZFIN;Acc:ZDB-GENE-050320-39]</t>
  </si>
  <si>
    <t>bccip</t>
  </si>
  <si>
    <t>ENSDARG00000004948</t>
  </si>
  <si>
    <t>http://zfin.org/ZDB-GENE-060503-322</t>
  </si>
  <si>
    <t>cactin [Source:ZFIN;Acc:ZDB-GENE-060503-322]</t>
  </si>
  <si>
    <t>cactin</t>
  </si>
  <si>
    <t>ENSDARG00000059866</t>
  </si>
  <si>
    <t>http://zfin.org/ZDB-GENE-040426-2643</t>
  </si>
  <si>
    <t>eukaryotic translation initiation factor 3, subunit M [Source:ZFIN;Acc:ZDB-GENE-040426-2643]</t>
  </si>
  <si>
    <t>eif3m</t>
  </si>
  <si>
    <t>ENSDARG00000013931</t>
  </si>
  <si>
    <t>http://zfin.org/ZDB-GENE-040718-278</t>
  </si>
  <si>
    <t>zgc:92791 [Source:ZFIN;Acc:ZDB-GENE-040718-278]</t>
  </si>
  <si>
    <t>PSMB10</t>
  </si>
  <si>
    <t>ENSDARG00000043781</t>
  </si>
  <si>
    <t>http://zfin.org/ZDB-GENE-081022-158</t>
  </si>
  <si>
    <t>http://zfin.org/ZDB-GENE-060503-447</t>
  </si>
  <si>
    <t>si:dkey-286j15.1 [Source:ZFIN;Acc:ZDB-GENE-060503-447]</t>
  </si>
  <si>
    <t>si:dkey-286j15.1</t>
  </si>
  <si>
    <t>ENSDARG00000040864</t>
  </si>
  <si>
    <t>http://zfin.org/ZDB-GENE-050522-492</t>
  </si>
  <si>
    <t>http://zfin.org/ZDB-GENE-000210-8</t>
  </si>
  <si>
    <t>http://zfin.org/ZDB-GENE-040426-2666</t>
  </si>
  <si>
    <t>http://zfin.org/ZDB-GENE-030131-898</t>
  </si>
  <si>
    <t>si:ch211-133n4.4 [Source:ZFIN;Acc:ZDB-GENE-030131-898]</t>
  </si>
  <si>
    <t>si:ch211-133n4.4</t>
  </si>
  <si>
    <t>ENSDARG00000071224</t>
  </si>
  <si>
    <t>http://zfin.org/ZDB-GENE-031113-19</t>
  </si>
  <si>
    <t>B-cell translocation gene 3 [Source:ZFIN;Acc:ZDB-GENE-031113-19]</t>
  </si>
  <si>
    <t>btg3</t>
  </si>
  <si>
    <t>ENSDARG00000069065</t>
  </si>
  <si>
    <t>http://zfin.org/ZDB-GENE-040426-2649</t>
  </si>
  <si>
    <t>SEC13 homolog, nuclear pore and COPII coat complex component [Source:ZFIN;Acc:ZDB-GENE-040426-2649]</t>
  </si>
  <si>
    <t>sec13</t>
  </si>
  <si>
    <t>ENSDARG00000054807</t>
  </si>
  <si>
    <t>http://zfin.org/ZDB-GENE-020205-1</t>
  </si>
  <si>
    <t>ubiquitination factor E4B, UFD2 homolog (S. cerevisiae) [Source:ZFIN;Acc:ZDB-GENE-020205-1]</t>
  </si>
  <si>
    <t>ube4b</t>
  </si>
  <si>
    <t>ENSDARG00000037017</t>
  </si>
  <si>
    <t>http://zfin.org/ZDB-GENE-050506-101</t>
  </si>
  <si>
    <t>PAF1 homolog, Paf1/RNA polymerase II complex component [Source:ZFIN;Acc:ZDB-GENE-050506-101]</t>
  </si>
  <si>
    <t>paf1</t>
  </si>
  <si>
    <t>ENSDARG00000098432</t>
  </si>
  <si>
    <t>http://zfin.org/ZDB-GENE-030131-2735</t>
  </si>
  <si>
    <t>ubiquitin-conjugating enzyme E2D 1b [Source:ZFIN;Acc:ZDB-GENE-030131-2735]</t>
  </si>
  <si>
    <t>ube2d1b</t>
  </si>
  <si>
    <t>ENSDARG00000038576</t>
  </si>
  <si>
    <t>http://zfin.org/ZDB-GENE-030131-263</t>
  </si>
  <si>
    <t>pre-mRNA processing factor 19 [Source:ZFIN;Acc:ZDB-GENE-030131-263]</t>
  </si>
  <si>
    <t>prpf19</t>
  </si>
  <si>
    <t>ENSDARG00000015239</t>
  </si>
  <si>
    <t>http://zfin.org/ZDB-GENE-030131-4317</t>
  </si>
  <si>
    <t>http://zfin.org/ZDB-GENE-030131-2861</t>
  </si>
  <si>
    <t>forkhead box K2 [Source:ZFIN;Acc:ZDB-GENE-030131-2861]</t>
  </si>
  <si>
    <t>foxk2</t>
  </si>
  <si>
    <t>ENSDARG00000030583</t>
  </si>
  <si>
    <t>http://zfin.org/ZDB-GENE-040426-1578</t>
  </si>
  <si>
    <t>HIV-1 Tat specific factor 1 [Source:ZFIN;Acc:ZDB-GENE-040426-1578]</t>
  </si>
  <si>
    <t>htatsf1</t>
  </si>
  <si>
    <t>ENSDARG00000056649</t>
  </si>
  <si>
    <t>http://zfin.org/ZDB-GENE-040426-2904</t>
  </si>
  <si>
    <t>ER membrane protein complex subunit 3 [Source:ZFIN;Acc:ZDB-GENE-040426-2904]</t>
  </si>
  <si>
    <t>emc3</t>
  </si>
  <si>
    <t>ENSDARG00000020607</t>
  </si>
  <si>
    <t>http://zfin.org/ZDB-GENE-050112-1</t>
  </si>
  <si>
    <t>proteasome 26S subunit, non-ATPase 10 [Source:ZFIN;Acc:ZDB-GENE-050112-1]</t>
  </si>
  <si>
    <t>psmd10</t>
  </si>
  <si>
    <t>ENSDARG00000015628</t>
  </si>
  <si>
    <t>http://zfin.org/ZDB-GENE-030131-8451</t>
  </si>
  <si>
    <t>ubiquinol-cytochrome c reductase complex assembly factor 3 [Source:ZFIN;Acc:ZDB-GENE-030131-8451]</t>
  </si>
  <si>
    <t>uqcc3</t>
  </si>
  <si>
    <t>ENSDARG00000093382</t>
  </si>
  <si>
    <t>http://zfin.org/ZDB-GENE-030131-5923</t>
  </si>
  <si>
    <t>RNA binding motif protein 38 [Source:ZFIN;Acc:ZDB-GENE-030131-5923]</t>
  </si>
  <si>
    <t>rbm38</t>
  </si>
  <si>
    <t>ENSDARG00000058818</t>
  </si>
  <si>
    <t>http://zfin.org/ZDB-GENE-050913-85</t>
  </si>
  <si>
    <t>protein geranylgeranyltransferase type I, beta subunit [Source:ZFIN;Acc:ZDB-GENE-050913-85]</t>
  </si>
  <si>
    <t>pggt1b</t>
  </si>
  <si>
    <t>ENSDARG00000103464</t>
  </si>
  <si>
    <t>http://zfin.org/ZDB-GENE-040426-1136</t>
  </si>
  <si>
    <t>serine/threonine kinase 10 [Source:ZFIN;Acc:ZDB-GENE-040426-1136]</t>
  </si>
  <si>
    <t>stk10</t>
  </si>
  <si>
    <t>ENSDARG00000101894</t>
  </si>
  <si>
    <t>http://zfin.org/ZDB-GENE-050208-381</t>
  </si>
  <si>
    <t>mitochondrial ribosomal protein L54 [Source:ZFIN;Acc:ZDB-GENE-050208-381]</t>
  </si>
  <si>
    <t>mrpl54</t>
  </si>
  <si>
    <t>ENSDARG00000071468</t>
  </si>
  <si>
    <t>http://zfin.org/ZDB-GENE-110411-22</t>
  </si>
  <si>
    <t>ATP synthase, H+ transporting, mitochondrial F1 complex, epsilon subunit [Source:ZFIN;Acc:ZDB-GENE-110411-22]</t>
  </si>
  <si>
    <t>atp5e</t>
  </si>
  <si>
    <t>ENSDARG00000095897</t>
  </si>
  <si>
    <t>http://zfin.org/ZDB-GENE-061103-493</t>
  </si>
  <si>
    <t>c-src tyrosine kinase [Source:ZFIN;Acc:ZDB-GENE-061103-493]</t>
  </si>
  <si>
    <t>csk</t>
  </si>
  <si>
    <t>ENSDARG00000067996</t>
  </si>
  <si>
    <t>http://zfin.org/ZDB-GENE-081113-4</t>
  </si>
  <si>
    <t>actinin, alpha 1 [Source:ZFIN;Acc:ZDB-GENE-081113-4]</t>
  </si>
  <si>
    <t>actn1</t>
  </si>
  <si>
    <t>ENSDARG00000007219</t>
  </si>
  <si>
    <t>http://zfin.org/ZDB-GENE-030131-5316</t>
  </si>
  <si>
    <t>bromodomain containing 3b [Source:ZFIN;Acc:ZDB-GENE-030131-5316]</t>
  </si>
  <si>
    <t>brd3b</t>
  </si>
  <si>
    <t>ENSDARG00000100129</t>
  </si>
  <si>
    <t>http://zfin.org/ZDB-GENE-021115-8</t>
  </si>
  <si>
    <t>http://zfin.org/ZDB-GENE-061207-34</t>
  </si>
  <si>
    <t>si:ch211-284b7.3 [Source:ZFIN;Acc:ZDB-GENE-061207-34]</t>
  </si>
  <si>
    <t>si:ch211-284b7.3</t>
  </si>
  <si>
    <t>ENSDARG00000063341</t>
  </si>
  <si>
    <t>http://zfin.org/ZDB-GENE-041114-109</t>
  </si>
  <si>
    <t>SVOP-like [Source:ZFIN;Acc:ZDB-GENE-041114-109]</t>
  </si>
  <si>
    <t>svopl</t>
  </si>
  <si>
    <t>ENSDARG00000057983</t>
  </si>
  <si>
    <t>http://zfin.org/ZDB-GENE-040704-45</t>
  </si>
  <si>
    <t>PRP18 pre-mRNA processing factor 18 homolog (yeast) [Source:ZFIN;Acc:ZDB-GENE-040704-45]</t>
  </si>
  <si>
    <t>prpf18</t>
  </si>
  <si>
    <t>ENSDARG00000058306</t>
  </si>
  <si>
    <t>http://zfin.org/ZDB-GENE-061215-112</t>
  </si>
  <si>
    <t>activity-dependent neuroprotector homeobox a [Source:ZFIN;Acc:ZDB-GENE-061215-112]</t>
  </si>
  <si>
    <t>adnpa</t>
  </si>
  <si>
    <t>ENSDARG00000062002</t>
  </si>
  <si>
    <t>http://zfin.org/ZDB-GENE-031113-9</t>
  </si>
  <si>
    <t>http://zfin.org/ZDB-GENE-050417-81</t>
  </si>
  <si>
    <t>zgc:110269 [Source:ZFIN;Acc:ZDB-GENE-050417-81]</t>
  </si>
  <si>
    <t>zgc:110269</t>
  </si>
  <si>
    <t>ENSDARG00000012325</t>
  </si>
  <si>
    <t>http://zfin.org/ZDB-GENE-040426-693</t>
  </si>
  <si>
    <t>ER membrane protein complex subunit 9 [Source:ZFIN;Acc:ZDB-GENE-040426-693]</t>
  </si>
  <si>
    <t>emc9</t>
  </si>
  <si>
    <t>ENSDARG00000034633</t>
  </si>
  <si>
    <t>http://zfin.org/ZDB-GENE-060825-115</t>
  </si>
  <si>
    <t>CBFA2/RUNX1 translocation partner 3 [Source:HGNC Symbol;Acc:HGNC:1537]</t>
  </si>
  <si>
    <t>CBFA2T3</t>
  </si>
  <si>
    <t>ENSDARG00000079012</t>
  </si>
  <si>
    <t>http://zfin.org/ZDB-GENE-030429-1</t>
  </si>
  <si>
    <t>Ras association (RalGDS/AF-6) domain family (N-terminal) member 7b [Source:ZFIN;Acc:ZDB-GENE-030429-1]</t>
  </si>
  <si>
    <t>rassf7b</t>
  </si>
  <si>
    <t>ENSDARG00000003193</t>
  </si>
  <si>
    <t>http://zfin.org/ZDB-GENE-040426-1573</t>
  </si>
  <si>
    <t>PHD finger protein 10 [Source:ZFIN;Acc:ZDB-GENE-040426-1573]</t>
  </si>
  <si>
    <t>phf10</t>
  </si>
  <si>
    <t>ENSDARG00000070084</t>
  </si>
  <si>
    <t>CR677617.1</t>
  </si>
  <si>
    <t>ENSDARG00000093492</t>
  </si>
  <si>
    <t>http://zfin.org/ZDB-GENE-030131-6110</t>
  </si>
  <si>
    <t>si:ch211-208h7.4 [Source:ZFIN;Acc:ZDB-GENE-030131-6110]</t>
  </si>
  <si>
    <t>si:ch211-208h7.4</t>
  </si>
  <si>
    <t>ENSDARG00000079434</t>
  </si>
  <si>
    <t>http://zfin.org/ZDB-GENE-040718-115</t>
  </si>
  <si>
    <t>mitochondrial ribosomal protein S26 [Source:ZFIN;Acc:ZDB-GENE-040718-115]</t>
  </si>
  <si>
    <t>mrps26</t>
  </si>
  <si>
    <t>ENSDARG00000039719</t>
  </si>
  <si>
    <t>http://zfin.org/ZDB-GENE-040426-2439</t>
  </si>
  <si>
    <t>MYCL proto-oncogene, bHLH transcription factor a [Source:ZFIN;Acc:ZDB-GENE-040426-2439]</t>
  </si>
  <si>
    <t>mycla</t>
  </si>
  <si>
    <t>ENSDARG00000006003</t>
  </si>
  <si>
    <t>http://zfin.org/ZDB-GENE-040426-2789</t>
  </si>
  <si>
    <t>http://zfin.org/ZDB-GENE-041210-181</t>
  </si>
  <si>
    <t>http://zfin.org/ZDB-GENE-030909-1</t>
  </si>
  <si>
    <t>SRY (sex determining region Y)-box 2 [Source:ZFIN;Acc:ZDB-GENE-030909-1]</t>
  </si>
  <si>
    <t>sox2</t>
  </si>
  <si>
    <t>ENSDARG00000070913</t>
  </si>
  <si>
    <t>http://zfin.org/ZDB-GENE-040426-2594</t>
  </si>
  <si>
    <t>anti-silencing function 1Bb histone chaperone [Source:ZFIN;Acc:ZDB-GENE-040426-2594]</t>
  </si>
  <si>
    <t>asf1bb</t>
  </si>
  <si>
    <t>ENSDARG00000043713</t>
  </si>
  <si>
    <t>http://zfin.org/ZDB-GENE-030131-650</t>
  </si>
  <si>
    <t>http://zfin.org/ZDB-GENE-030131-6312</t>
  </si>
  <si>
    <t>zinc metallopeptidase, STE24 homolog [Source:ZFIN;Acc:ZDB-GENE-030131-6312]</t>
  </si>
  <si>
    <t>zmpste24</t>
  </si>
  <si>
    <t>ENSDARG00000044090</t>
  </si>
  <si>
    <t>http://zfin.org/ZDB-GENE-041114-180</t>
  </si>
  <si>
    <t>http://zfin.org/ZDB-GENE-070424-1</t>
  </si>
  <si>
    <t>http://zfin.org/ZDB-GENE-050809-125</t>
  </si>
  <si>
    <t>plasminogen receptor, C-terminal lysine transmembrane protein [Source:ZFIN;Acc:ZDB-GENE-050809-125]</t>
  </si>
  <si>
    <t>plgrkt</t>
  </si>
  <si>
    <t>ENSDARG00000100789</t>
  </si>
  <si>
    <t>http://zfin.org/ZDB-GENE-050309-265</t>
  </si>
  <si>
    <t>si:ch211-274p24.2 [Source:ZFIN;Acc:ZDB-GENE-050309-265]</t>
  </si>
  <si>
    <t>si:ch211-274p24.2</t>
  </si>
  <si>
    <t>ENSDARG00000095185</t>
  </si>
  <si>
    <t>http://zfin.org/ZDB-GENE-040426-1066</t>
  </si>
  <si>
    <t>mitochondrial ribosomal protein L14 [Source:ZFIN;Acc:ZDB-GENE-040426-1066]</t>
  </si>
  <si>
    <t>mrpl14</t>
  </si>
  <si>
    <t>ENSDARG00000068886</t>
  </si>
  <si>
    <t>http://zfin.org/ZDB-GENE-040718-99</t>
  </si>
  <si>
    <t>tumor suppressor candidate 2b [Source:ZFIN;Acc:ZDB-GENE-040718-99]</t>
  </si>
  <si>
    <t>tusc2b</t>
  </si>
  <si>
    <t>ENSDARG00000025340</t>
  </si>
  <si>
    <t>http://zfin.org/ZDB-GENE-030131-5395</t>
  </si>
  <si>
    <t>suppression of tumorigenicity 13 (colon carcinoma) (Hsp70 interacting protein) [Source:ZFIN;Acc:ZDB-GENE-030131-5395]</t>
  </si>
  <si>
    <t>st13</t>
  </si>
  <si>
    <t>ENSDARG00000021973</t>
  </si>
  <si>
    <t>http://zfin.org/ZDB-GENE-030131-6141</t>
  </si>
  <si>
    <t>bromodomain containing 3a [Source:ZFIN;Acc:ZDB-GENE-030131-6141]</t>
  </si>
  <si>
    <t>brd3a</t>
  </si>
  <si>
    <t>ENSDARG00000006527</t>
  </si>
  <si>
    <t>http://zfin.org/ZDB-GENE-040426-57</t>
  </si>
  <si>
    <t>structural maintenance of chromosomes 1A, like [Source:ZFIN;Acc:ZDB-GENE-040426-57]</t>
  </si>
  <si>
    <t>smc1al</t>
  </si>
  <si>
    <t>ENSDARG00000058203</t>
  </si>
  <si>
    <t>http://zfin.org/ZDB-GENE-030729-18</t>
  </si>
  <si>
    <t>spermatid perinuclear RNA binding protein [Source:ZFIN;Acc:ZDB-GENE-030729-18]</t>
  </si>
  <si>
    <t>strbp</t>
  </si>
  <si>
    <t>ENSDARG00000021455</t>
  </si>
  <si>
    <t>http://zfin.org/ZDB-GENE-030131-3663</t>
  </si>
  <si>
    <t>alanyl-tRNA synthetase [Source:ZFIN;Acc:ZDB-GENE-030131-3663]</t>
  </si>
  <si>
    <t>aars</t>
  </si>
  <si>
    <t>ENSDARG00000069142</t>
  </si>
  <si>
    <t>http://zfin.org/ZDB-GENE-080204-79</t>
  </si>
  <si>
    <t>receptor (G protein-coupled) activity modifying protein 2 [Source:ZFIN;Acc:ZDB-GENE-080204-79]</t>
  </si>
  <si>
    <t>ramp2</t>
  </si>
  <si>
    <t>ENSDARG00000037895</t>
  </si>
  <si>
    <t>http://zfin.org/ZDB-GENE-030131-8625</t>
  </si>
  <si>
    <t>http://zfin.org/ZDB-GENE-030131-2420</t>
  </si>
  <si>
    <t>serine/arginine-rich splicing factor 2b [Source:ZFIN;Acc:ZDB-GENE-030131-2420]</t>
  </si>
  <si>
    <t>srsf2b</t>
  </si>
  <si>
    <t>ENSDARG00000103893</t>
  </si>
  <si>
    <t>http://zfin.org/ZDB-GENE-030131-614</t>
  </si>
  <si>
    <t>survival motor neuron domain containing 1 [Source:ZFIN;Acc:ZDB-GENE-030131-614]</t>
  </si>
  <si>
    <t>smndc1</t>
  </si>
  <si>
    <t>ENSDARG00000056235</t>
  </si>
  <si>
    <t>http://zfin.org/ZDB-GENE-030114-6</t>
  </si>
  <si>
    <t>http://zfin.org/ZDB-GENE-030131-563</t>
  </si>
  <si>
    <t>poly(rC) binding protein 2 [Source:ZFIN;Acc:ZDB-GENE-030131-563]</t>
  </si>
  <si>
    <t>pcbp2</t>
  </si>
  <si>
    <t>ENSDARG00000099039</t>
  </si>
  <si>
    <t>http://zfin.org/ZDB-GENE-040718-245</t>
  </si>
  <si>
    <t>inositol(myo)-1(or 4)-monophosphatase 1 [Source:ZFIN;Acc:ZDB-GENE-040718-245]</t>
  </si>
  <si>
    <t>impa1</t>
  </si>
  <si>
    <t>ENSDARG00000003517</t>
  </si>
  <si>
    <t>http://zfin.org/ZDB-GENE-040426-1589</t>
  </si>
  <si>
    <t>prefoldin subunit 6 [Source:ZFIN;Acc:ZDB-GENE-040426-1589]</t>
  </si>
  <si>
    <t>pfdn6</t>
  </si>
  <si>
    <t>ENSDARG00000037108</t>
  </si>
  <si>
    <t>http://zfin.org/ZDB-GENE-160628-5</t>
  </si>
  <si>
    <t>si:ch211-276i12.11 [Source:ZFIN;Acc:ZDB-GENE-160628-5]</t>
  </si>
  <si>
    <t>si:ch211-276i12.11</t>
  </si>
  <si>
    <t>ENSDARG00000105412</t>
  </si>
  <si>
    <t>http://zfin.org/ZDB-GENE-030131-6759</t>
  </si>
  <si>
    <t>si:dkey-92i17.2 [Source:ZFIN;Acc:ZDB-GENE-030131-6759]</t>
  </si>
  <si>
    <t>si:dkey-92i17.2</t>
  </si>
  <si>
    <t>ENSDARG00000093612</t>
  </si>
  <si>
    <t>http://zfin.org/ZDB-GENE-020402-4</t>
  </si>
  <si>
    <t>http://zfin.org/ZDB-GENE-011010-2</t>
  </si>
  <si>
    <t>GA binding protein transcription factor, alpha subunit [Source:ZFIN;Acc:ZDB-GENE-011010-2]</t>
  </si>
  <si>
    <t>gabpa</t>
  </si>
  <si>
    <t>ENSDARG00000069289</t>
  </si>
  <si>
    <t>http://zfin.org/ZDB-GENE-050309-87</t>
  </si>
  <si>
    <t>ATP synthase, H+ transporting, mitochondrial Fo complex, subunit F2 [Source:ZFIN;Acc:ZDB-GENE-050309-87]</t>
  </si>
  <si>
    <t>atp5j2</t>
  </si>
  <si>
    <t>ENSDARG00000037867</t>
  </si>
  <si>
    <t>http://zfin.org/ZDB-GENE-030131-2748</t>
  </si>
  <si>
    <t>eukaryotic translation initiation factor 3, subunit Ba [Source:ZFIN;Acc:ZDB-GENE-030131-2748]</t>
  </si>
  <si>
    <t>eif3ba</t>
  </si>
  <si>
    <t>ENSDARG00000059654</t>
  </si>
  <si>
    <t>http://zfin.org/ZDB-GENE-030131-5884</t>
  </si>
  <si>
    <t>transmembrane protein 30Ab [Source:ZFIN;Acc:ZDB-GENE-030131-5884]</t>
  </si>
  <si>
    <t>tmem30ab</t>
  </si>
  <si>
    <t>ENSDARG00000043555</t>
  </si>
  <si>
    <t>http://zfin.org/ZDB-GENE-060312-35</t>
  </si>
  <si>
    <t>RNA-binding region (RNP1, RRM) containing 3 [Source:ZFIN;Acc:ZDB-GENE-060312-35]</t>
  </si>
  <si>
    <t>rnpc3</t>
  </si>
  <si>
    <t>ENSDARG00000011247</t>
  </si>
  <si>
    <t>http://zfin.org/ZDB-GENE-061103-619</t>
  </si>
  <si>
    <t>UDP-glucose glycoprotein glucosyltransferase 1 [Source:ZFIN;Acc:ZDB-GENE-061103-619]</t>
  </si>
  <si>
    <t>uggt1</t>
  </si>
  <si>
    <t>ENSDARG00000054746</t>
  </si>
  <si>
    <t>http://zfin.org/ZDB-GENE-060130-180</t>
  </si>
  <si>
    <t>tetratricopeptide repeat, ankyrin repeat and coiled-coil containing 2a [Source:ZFIN;Acc:ZDB-GENE-060130-180]</t>
  </si>
  <si>
    <t>tanc2a</t>
  </si>
  <si>
    <t>ENSDARG00000079097</t>
  </si>
  <si>
    <t>http://zfin.org/ZDB-GENE-020419-24</t>
  </si>
  <si>
    <t>http://zfin.org/ZDB-GENE-990415-245</t>
  </si>
  <si>
    <t>ELAV like RNA binding protein 1 [Source:ZFIN;Acc:ZDB-GENE-990415-245]</t>
  </si>
  <si>
    <t>elavl1</t>
  </si>
  <si>
    <t>ENSDARG00000038695</t>
  </si>
  <si>
    <t>http://zfin.org/ZDB-GENE-040426-2009</t>
  </si>
  <si>
    <t>ubiquitin-like modifier activating enzyme 1 [Source:ZFIN;Acc:ZDB-GENE-040426-2009]</t>
  </si>
  <si>
    <t>uba1</t>
  </si>
  <si>
    <t>ENSDARG00000037559</t>
  </si>
  <si>
    <t>http://zfin.org/ZDB-GENE-040426-1683</t>
  </si>
  <si>
    <t>hippocalcin [Source:ZFIN;Acc:ZDB-GENE-040426-1683]</t>
  </si>
  <si>
    <t>hpca</t>
  </si>
  <si>
    <t>ENSDARG00000018397</t>
  </si>
  <si>
    <t>http://zfin.org/ZDB-GENE-040912-87</t>
  </si>
  <si>
    <t>mannosidase, endo-alpha [Source:ZFIN;Acc:ZDB-GENE-040912-87]</t>
  </si>
  <si>
    <t>manea</t>
  </si>
  <si>
    <t>ENSDARG00000001898</t>
  </si>
  <si>
    <t>http://zfin.org/ZDB-GENE-030131-5584</t>
  </si>
  <si>
    <t>karyopherin alpha 4 (importin alpha 3) [Source:ZFIN;Acc:ZDB-GENE-030131-5584]</t>
  </si>
  <si>
    <t>kpna4</t>
  </si>
  <si>
    <t>ENSDARG00000023190</t>
  </si>
  <si>
    <t>http://zfin.org/ZDB-GENE-160728-105</t>
  </si>
  <si>
    <t>si:ch73-335l21.4 [Source:ZFIN;Acc:ZDB-GENE-160728-105]</t>
  </si>
  <si>
    <t>si:ch73-335l21.4</t>
  </si>
  <si>
    <t>http://zfin.org/ZDB-GENE-050706-131</t>
  </si>
  <si>
    <t>U2 small nuclear RNA auxiliary factor 2a [Source:ZFIN;Acc:ZDB-GENE-050706-131]</t>
  </si>
  <si>
    <t>u2af2a</t>
  </si>
  <si>
    <t>ENSDARG00000012505</t>
  </si>
  <si>
    <t>http://zfin.org/ZDB-GENE-050417-408</t>
  </si>
  <si>
    <t>complement component 1, q subcomponent binding protein [Source:ZFIN;Acc:ZDB-GENE-050417-408]</t>
  </si>
  <si>
    <t>c1qbp</t>
  </si>
  <si>
    <t>ENSDARG00000039887</t>
  </si>
  <si>
    <t>http://zfin.org/ZDB-GENE-050506-79</t>
  </si>
  <si>
    <t>http://zfin.org/ZDB-GENE-030131-7146</t>
  </si>
  <si>
    <t>http://zfin.org/ZDB-GENE-091130-1</t>
  </si>
  <si>
    <t>cancer susceptibility candidate 4 [Source:ZFIN;Acc:ZDB-GENE-091130-1]</t>
  </si>
  <si>
    <t>casc4</t>
  </si>
  <si>
    <t>ENSDARG00000074490</t>
  </si>
  <si>
    <t>http://zfin.org/ZDB-GENE-031118-66</t>
  </si>
  <si>
    <t>neurotrophin 3 [Source:ZFIN;Acc:ZDB-GENE-031118-66]</t>
  </si>
  <si>
    <t>ntf3</t>
  </si>
  <si>
    <t>ENSDARG00000059043</t>
  </si>
  <si>
    <t>http://zfin.org/ZDB-GENE-040426-701</t>
  </si>
  <si>
    <t>thioredoxin-like 1 [Source:ZFIN;Acc:ZDB-GENE-040426-701]</t>
  </si>
  <si>
    <t>txnl1</t>
  </si>
  <si>
    <t>ENSDARG00000011921</t>
  </si>
  <si>
    <t>http://zfin.org/ZDB-GENE-030131-4557</t>
  </si>
  <si>
    <t>general transcription factor IIF, polypeptide 1 [Source:ZFIN;Acc:ZDB-GENE-030131-4557]</t>
  </si>
  <si>
    <t>gtf2f1</t>
  </si>
  <si>
    <t>ENSDARG00000032129</t>
  </si>
  <si>
    <t>http://zfin.org/ZDB-GENE-041014-143</t>
  </si>
  <si>
    <t>si:ch211-22i13.2 [Source:ZFIN;Acc:ZDB-GENE-041014-143]</t>
  </si>
  <si>
    <t>si:ch211-22i13.2</t>
  </si>
  <si>
    <t>ENSDARG00000043485</t>
  </si>
  <si>
    <t>http://zfin.org/ZDB-GENE-120312-1</t>
  </si>
  <si>
    <t>http://zfin.org/ZDB-GENE-990415-25</t>
  </si>
  <si>
    <t>http://zfin.org/ZDB-GENE-030715-1</t>
  </si>
  <si>
    <t>http://zfin.org/ZDB-GENE-030131-867</t>
  </si>
  <si>
    <t>ATPase, Ca++ transporting, cardiac muscle, slow twitch 2b [Source:ZFIN;Acc:ZDB-GENE-030131-867]</t>
  </si>
  <si>
    <t>atp2a2b</t>
  </si>
  <si>
    <t>ENSDARG00000005122</t>
  </si>
  <si>
    <t>http://zfin.org/ZDB-GENE-051030-93</t>
  </si>
  <si>
    <t>http://zfin.org/ZDB-GENE-030131-1361</t>
  </si>
  <si>
    <t>http://zfin.org/ZDB-GENE-081022-200</t>
  </si>
  <si>
    <t>zgc:195245 [Source:ZFIN;Acc:ZDB-GENE-081022-200]</t>
  </si>
  <si>
    <t>zgc:195245</t>
  </si>
  <si>
    <t>ENSDARG00000078917</t>
  </si>
  <si>
    <t>http://zfin.org/ZDB-GENE-040426-2104</t>
  </si>
  <si>
    <t>hepatoma-derived growth factor-related protein 2 [Source:ZFIN;Acc:ZDB-GENE-040426-2104]</t>
  </si>
  <si>
    <t>hdgfrp2</t>
  </si>
  <si>
    <t>ENSDARG00000019530</t>
  </si>
  <si>
    <t>http://zfin.org/ZDB-GENE-040801-35</t>
  </si>
  <si>
    <t>TSTA3 (1 of many)</t>
  </si>
  <si>
    <t>http://zfin.org/ZDB-GENE-040426-2405</t>
  </si>
  <si>
    <t>eukaryotic translation initiation factor 5A2 [Source:ZFIN;Acc:ZDB-GENE-040426-2405]</t>
  </si>
  <si>
    <t>eif5a2</t>
  </si>
  <si>
    <t>ENSDARG00000056186</t>
  </si>
  <si>
    <t>http://zfin.org/ZDB-GENE-040426-1776</t>
  </si>
  <si>
    <t>presequence translocase-associated motor 16 homolog (S. cerevisiae) [Source:ZFIN;Acc:ZDB-GENE-040426-1776]</t>
  </si>
  <si>
    <t>pam16</t>
  </si>
  <si>
    <t>ENSDARG00000102822</t>
  </si>
  <si>
    <t>http://zfin.org/ZDB-GENE-011205-8</t>
  </si>
  <si>
    <t>NADH dehydrogenase 2, mitochondrial [Source:ZFIN;Acc:ZDB-GENE-011205-8]</t>
  </si>
  <si>
    <t>mt-nd2</t>
  </si>
  <si>
    <t>ENSDARG00000063899</t>
  </si>
  <si>
    <t>http://zfin.org/ZDB-GENE-030131-6583</t>
  </si>
  <si>
    <t>http://zfin.org/ZDB-GENE-030131-719</t>
  </si>
  <si>
    <t>http://zfin.org/ZDB-GENE-041114-82</t>
  </si>
  <si>
    <t>small nuclear ribonucleoprotein polypeptide A' [Source:ZFIN;Acc:ZDB-GENE-041114-82]</t>
  </si>
  <si>
    <t>snrpa1</t>
  </si>
  <si>
    <t>ENSDARG00000024651</t>
  </si>
  <si>
    <t>CABZ01113954.1</t>
  </si>
  <si>
    <t>ENSDARG00000099653</t>
  </si>
  <si>
    <t>http://zfin.org/ZDB-GENE-030131-274</t>
  </si>
  <si>
    <t>PRP40 pre-mRNA processing factor 40 homolog A [Source:ZFIN;Acc:ZDB-GENE-030131-274]</t>
  </si>
  <si>
    <t>prpf40a</t>
  </si>
  <si>
    <t>ENSDARG00000058467</t>
  </si>
  <si>
    <t>http://zfin.org/ZDB-GENE-080514-3</t>
  </si>
  <si>
    <t>SWI/SNF related, matrix associated, actin dependent regulator of chromatin, subfamily c, member 1a [Source:ZFIN;Acc:ZDB-GENE-080514-3]</t>
  </si>
  <si>
    <t>smarcc1a</t>
  </si>
  <si>
    <t>ENSDARG00000017397</t>
  </si>
  <si>
    <t>http://zfin.org/ZDB-GENE-040426-1472</t>
  </si>
  <si>
    <t>Na+/K+ transporting ATPase interacting 1 [Source:ZFIN;Acc:ZDB-GENE-040426-1472]</t>
  </si>
  <si>
    <t>nkain1</t>
  </si>
  <si>
    <t>ENSDARG00000006859</t>
  </si>
  <si>
    <t>http://zfin.org/ZDB-GENE-060929-604</t>
  </si>
  <si>
    <t>ring finger protein 44 [Source:ZFIN;Acc:ZDB-GENE-060929-604]</t>
  </si>
  <si>
    <t>rnf44</t>
  </si>
  <si>
    <t>ENSDARG00000068582</t>
  </si>
  <si>
    <t>http://zfin.org/ZDB-GENE-070822-23</t>
  </si>
  <si>
    <t>LSM5 homolog, U6 small nuclear RNA and mRNA degradation associated [Source:ZFIN;Acc:ZDB-GENE-070822-23]</t>
  </si>
  <si>
    <t>lsm5</t>
  </si>
  <si>
    <t>ENSDARG00000071573</t>
  </si>
  <si>
    <t>http://zfin.org/ZDB-GENE-040426-1060</t>
  </si>
  <si>
    <t>zgc:56525</t>
  </si>
  <si>
    <t>http://zfin.org/ZDB-GENE-050320-36</t>
  </si>
  <si>
    <t>http://zfin.org/ZDB-GENE-040801-225</t>
  </si>
  <si>
    <t>pre-mRNA processing factor 38A [Source:ZFIN;Acc:ZDB-GENE-040801-225]</t>
  </si>
  <si>
    <t>prpf38a</t>
  </si>
  <si>
    <t>ENSDARG00000039213</t>
  </si>
  <si>
    <t>http://zfin.org/ZDB-GENE-061013-144</t>
  </si>
  <si>
    <t>zgc:153990 [Source:ZFIN;Acc:ZDB-GENE-061013-144]</t>
  </si>
  <si>
    <t>zgc:153990</t>
  </si>
  <si>
    <t>ENSDARG00000053716</t>
  </si>
  <si>
    <t>http://zfin.org/ZDB-GENE-030131-2165</t>
  </si>
  <si>
    <t>http://zfin.org/ZDB-GENE-041114-195</t>
  </si>
  <si>
    <t>v-ral simian leukemia viral oncogene homolog Ab (ras related) [Source:ZFIN;Acc:ZDB-GENE-041114-195]</t>
  </si>
  <si>
    <t>ralab</t>
  </si>
  <si>
    <t>ENSDARG00000016253</t>
  </si>
  <si>
    <t>http://zfin.org/ZDB-GENE-061110-52</t>
  </si>
  <si>
    <t>mitochondrial ribosomal protein S28 [Source:ZFIN;Acc:ZDB-GENE-061110-52]</t>
  </si>
  <si>
    <t>mrps28</t>
  </si>
  <si>
    <t>ENSDARG00000041538</t>
  </si>
  <si>
    <t>http://zfin.org/ZDB-GENE-030616-161</t>
  </si>
  <si>
    <t>proliferation-associated 2G4, a [Source:ZFIN;Acc:ZDB-GENE-030616-161]</t>
  </si>
  <si>
    <t>pa2g4a</t>
  </si>
  <si>
    <t>ENSDARG00000039578</t>
  </si>
  <si>
    <t>http://zfin.org/ZDB-GENE-030131-9744</t>
  </si>
  <si>
    <t>http://zfin.org/ZDB-GENE-041212-13</t>
  </si>
  <si>
    <t>zgc:101853 [Source:ZFIN;Acc:ZDB-GENE-041212-13]</t>
  </si>
  <si>
    <t>AIMP1 (1 of many)</t>
  </si>
  <si>
    <t>ENSDARG00000036894</t>
  </si>
  <si>
    <t>http://zfin.org/ZDB-GENE-061103-529</t>
  </si>
  <si>
    <t>DnaJ (Hsp40) homolog, subfamily C, member 1 [Source:ZFIN;Acc:ZDB-GENE-061103-529]</t>
  </si>
  <si>
    <t>dnajc1</t>
  </si>
  <si>
    <t>ENSDARG00000001940</t>
  </si>
  <si>
    <t>http://zfin.org/ZDB-GENE-030903-5</t>
  </si>
  <si>
    <t>FYN proto-oncogene, Src family tyrosine kinase a [Source:ZFIN;Acc:ZDB-GENE-030903-5]</t>
  </si>
  <si>
    <t>fyna</t>
  </si>
  <si>
    <t>ENSDARG00000011370</t>
  </si>
  <si>
    <t>http://zfin.org/ZDB-GENE-130625-1</t>
  </si>
  <si>
    <t>http://zfin.org/ZDB-GENE-030131-8594</t>
  </si>
  <si>
    <t>ABRA C-terminal like [Source:ZFIN;Acc:ZDB-GENE-030131-8594]</t>
  </si>
  <si>
    <t>abracl</t>
  </si>
  <si>
    <t>ENSDARG00000042876</t>
  </si>
  <si>
    <t>http://zfin.org/ZDB-GENE-030131-3951</t>
  </si>
  <si>
    <t>basic leucine zipper and W2 domains 1a [Source:ZFIN;Acc:ZDB-GENE-030131-3951]</t>
  </si>
  <si>
    <t>bzw1a</t>
  </si>
  <si>
    <t>ENSDARG00000010481</t>
  </si>
  <si>
    <t>http://zfin.org/ZDB-GENE-030131-3731</t>
  </si>
  <si>
    <t>heterogeneous nuclear ribonucleoprotein Ua [Source:ZFIN;Acc:ZDB-GENE-030131-3731]</t>
  </si>
  <si>
    <t>hnrnpua</t>
  </si>
  <si>
    <t>ENSDARG00000015206</t>
  </si>
  <si>
    <t>http://zfin.org/ZDB-GENE-060519-3</t>
  </si>
  <si>
    <t>pinin, desmosome associated protein [Source:ZFIN;Acc:ZDB-GENE-060519-3]</t>
  </si>
  <si>
    <t>pnn</t>
  </si>
  <si>
    <t>ENSDARG00000015851</t>
  </si>
  <si>
    <t>http://zfin.org/ZDB-GENE-030131-9134</t>
  </si>
  <si>
    <t>http://zfin.org/ZDB-GENE-050417-34</t>
  </si>
  <si>
    <t>Hikeshi, heat shock protein nuclear import factor [Source:ZFIN;Acc:ZDB-GENE-050417-34]</t>
  </si>
  <si>
    <t>hikeshi</t>
  </si>
  <si>
    <t>ENSDARG00000104071</t>
  </si>
  <si>
    <t>http://zfin.org/ZDB-GENE-060616-2</t>
  </si>
  <si>
    <t>small nuclear ribonucleoprotein polypeptide B2 [Source:ZFIN;Acc:ZDB-GENE-060616-2]</t>
  </si>
  <si>
    <t>snrpb2</t>
  </si>
  <si>
    <t>ENSDARG00000039424</t>
  </si>
  <si>
    <t>http://zfin.org/ZDB-GENE-030131-417</t>
  </si>
  <si>
    <t>plakophilin 1b [Source:ZFIN;Acc:ZDB-GENE-030131-417]</t>
  </si>
  <si>
    <t>pkp1b</t>
  </si>
  <si>
    <t>ENSDARG00000052705</t>
  </si>
  <si>
    <t>http://zfin.org/ZDB-GENE-980526-68</t>
  </si>
  <si>
    <t>http://zfin.org/ZDB-GENE-041121-4</t>
  </si>
  <si>
    <t>mediator complex subunit 28 [Source:ZFIN;Acc:ZDB-GENE-041121-4]</t>
  </si>
  <si>
    <t>med28</t>
  </si>
  <si>
    <t>ENSDARG00000037410</t>
  </si>
  <si>
    <t>http://zfin.org/ZDB-GENE-040426-703</t>
  </si>
  <si>
    <t>ddb1 and cul4 associated factor 13 [Source:ZFIN;Acc:ZDB-GENE-040426-703]</t>
  </si>
  <si>
    <t>dcaf13</t>
  </si>
  <si>
    <t>ENSDARG00000002267</t>
  </si>
  <si>
    <t>http://zfin.org/ZDB-GENE-040718-79</t>
  </si>
  <si>
    <t>cleavage and polyadenylation specific factor 2 [Source:ZFIN;Acc:ZDB-GENE-040718-79]</t>
  </si>
  <si>
    <t>cpsf2</t>
  </si>
  <si>
    <t>ENSDARG00000028971</t>
  </si>
  <si>
    <t>http://zfin.org/ZDB-GENE-040724-77</t>
  </si>
  <si>
    <t>coactivator-associated arginine methyltransferase 1 [Source:ZFIN;Acc:ZDB-GENE-040724-77]</t>
  </si>
  <si>
    <t>carm1</t>
  </si>
  <si>
    <t>ENSDARG00000018698</t>
  </si>
  <si>
    <t>http://zfin.org/ZDB-GENE-050419-206</t>
  </si>
  <si>
    <t>cyclin L1a [Source:ZFIN;Acc:ZDB-GENE-050419-206]</t>
  </si>
  <si>
    <t>ccnl1a</t>
  </si>
  <si>
    <t>ENSDARG00000055124</t>
  </si>
  <si>
    <t>http://zfin.org/ZDB-GENE-030616-615</t>
  </si>
  <si>
    <t>metadherin a [Source:ZFIN;Acc:ZDB-GENE-030616-615]</t>
  </si>
  <si>
    <t>mtdha</t>
  </si>
  <si>
    <t>ENSDARG00000014159</t>
  </si>
  <si>
    <t>http://zfin.org/ZDB-GENE-041212-9</t>
  </si>
  <si>
    <t>http://zfin.org/ZDB-GENE-040426-1996</t>
  </si>
  <si>
    <t>acetyl-CoA acyltransferase 2 [Source:ZFIN;Acc:ZDB-GENE-040426-1996]</t>
  </si>
  <si>
    <t>acaa2</t>
  </si>
  <si>
    <t>ENSDARG00000038881</t>
  </si>
  <si>
    <t>http://zfin.org/ZDB-GENE-030804-11</t>
  </si>
  <si>
    <t>http://zfin.org/ZDB-GENE-030131-2900</t>
  </si>
  <si>
    <t>taxilin alpha [Source:ZFIN;Acc:ZDB-GENE-030131-2900]</t>
  </si>
  <si>
    <t>txlna</t>
  </si>
  <si>
    <t>ENSDARG00000077037</t>
  </si>
  <si>
    <t>http://zfin.org/ZDB-GENE-011205-10</t>
  </si>
  <si>
    <t>NADH dehydrogenase 4, mitochondrial [Source:ZFIN;Acc:ZDB-GENE-011205-10]</t>
  </si>
  <si>
    <t>mt-nd4</t>
  </si>
  <si>
    <t>ENSDARG00000063917</t>
  </si>
  <si>
    <t>http://zfin.org/ZDB-GENE-040724-235</t>
  </si>
  <si>
    <t>rhophilin associated tail protein 1-like [Source:ZFIN;Acc:ZDB-GENE-040724-235]</t>
  </si>
  <si>
    <t>ropn1l</t>
  </si>
  <si>
    <t>ENSDARG00000058370</t>
  </si>
  <si>
    <t>http://zfin.org/ZDB-GENE-040426-2745</t>
  </si>
  <si>
    <t>http://zfin.org/ZDB-GENE-990415-152</t>
  </si>
  <si>
    <t>http://zfin.org/ZDB-GENE-990415-259</t>
  </si>
  <si>
    <t>chloride channel, nucleotide-sensitive, 1A [Source:ZFIN;Acc:ZDB-GENE-990415-259]</t>
  </si>
  <si>
    <t>clns1a</t>
  </si>
  <si>
    <t>ENSDARG00000103027</t>
  </si>
  <si>
    <t>http://zfin.org/ZDB-GENE-120215-214</t>
  </si>
  <si>
    <t>SR-related CTD-associated factor 1 [Source:ZFIN;Acc:ZDB-GENE-120215-214]</t>
  </si>
  <si>
    <t>scaf1</t>
  </si>
  <si>
    <t>ENSDARG00000054010</t>
  </si>
  <si>
    <t>http://zfin.org/ZDB-GENE-040426-1687</t>
  </si>
  <si>
    <t>ENSDARG00000032126</t>
  </si>
  <si>
    <t>http://zfin.org/ZDB-GENE-040426-2452</t>
  </si>
  <si>
    <t>splicing factor proline/glutamine-rich [Source:ZFIN;Acc:ZDB-GENE-040426-2452]</t>
  </si>
  <si>
    <t>sfpq</t>
  </si>
  <si>
    <t>ENSDARG00000011564</t>
  </si>
  <si>
    <t>http://zfin.org/ZDB-GENE-030131-4797</t>
  </si>
  <si>
    <t>myosin XVB [Source:ZFIN;Acc:ZDB-GENE-030131-4797]</t>
  </si>
  <si>
    <t>myo15b</t>
  </si>
  <si>
    <t>ENSDARG00000074852</t>
  </si>
  <si>
    <t>http://zfin.org/ZDB-GENE-030131-779</t>
  </si>
  <si>
    <t>tyrosine 3-monooxygenase/tryptophan 5-monooxygenase activation protein, epsilon polypeptide 1 [Source:ZFIN;Acc:ZDB-GENE-030131-779]</t>
  </si>
  <si>
    <t>ywhae1</t>
  </si>
  <si>
    <t>ENSDARG00000006399</t>
  </si>
  <si>
    <t>http://zfin.org/ZDB-GENE-040426-1926</t>
  </si>
  <si>
    <t>heterogeneous nuclear ribonucleoprotein K [Source:ZFIN;Acc:ZDB-GENE-040426-1926]</t>
  </si>
  <si>
    <t>hnrnpk</t>
  </si>
  <si>
    <t>ENSDARG00000018914</t>
  </si>
  <si>
    <t>http://zfin.org/ZDB-GENE-030131-3205</t>
  </si>
  <si>
    <t>UbiA prenyltransferase domain containing 1 [Source:ZFIN;Acc:ZDB-GENE-030131-3205]</t>
  </si>
  <si>
    <t>ubiad1</t>
  </si>
  <si>
    <t>ENSDARG00000013009</t>
  </si>
  <si>
    <t>http://zfin.org/ZDB-GENE-030131-3151</t>
  </si>
  <si>
    <t>http://zfin.org/ZDB-GENE-040801-108</t>
  </si>
  <si>
    <t>coiled-coil domain containing 12 [Source:ZFIN;Acc:ZDB-GENE-040801-108]</t>
  </si>
  <si>
    <t>ccdc12</t>
  </si>
  <si>
    <t>ENSDARG00000023003</t>
  </si>
  <si>
    <t>http://zfin.org/ZDB-GENE-130530-870</t>
  </si>
  <si>
    <t>plakophilin 3b [Source:ZFIN;Acc:ZDB-GENE-130530-870]</t>
  </si>
  <si>
    <t>pkp3b</t>
  </si>
  <si>
    <t>ENSDARG00000079438</t>
  </si>
  <si>
    <t>http://zfin.org/ZDB-GENE-030131-3197</t>
  </si>
  <si>
    <t>zinc finger, matrin-type 2 [Source:ZFIN;Acc:ZDB-GENE-030131-3197]</t>
  </si>
  <si>
    <t>zmat2</t>
  </si>
  <si>
    <t>ENSDARG00000004956</t>
  </si>
  <si>
    <t>http://zfin.org/ZDB-GENE-041010-106</t>
  </si>
  <si>
    <t>polymerase (RNA) II (DNA directed) polypeptide I [Source:ZFIN;Acc:ZDB-GENE-041010-106]</t>
  </si>
  <si>
    <t>polr2i</t>
  </si>
  <si>
    <t>ENSDARG00000040443</t>
  </si>
  <si>
    <t>http://zfin.org/ZDB-GENE-041212-76</t>
  </si>
  <si>
    <t>forkhead box J1b [Source:ZFIN;Acc:ZDB-GENE-041212-76]</t>
  </si>
  <si>
    <t>foxj1b</t>
  </si>
  <si>
    <t>ENSDARG00000088290</t>
  </si>
  <si>
    <t>http://zfin.org/ZDB-GENE-050417-67</t>
  </si>
  <si>
    <t>FCF1 rRNA-processing protein [Source:ZFIN;Acc:ZDB-GENE-050417-67]</t>
  </si>
  <si>
    <t>fcf1</t>
  </si>
  <si>
    <t>ENSDARG00000102333</t>
  </si>
  <si>
    <t>http://zfin.org/ZDB-GENE-050809-130</t>
  </si>
  <si>
    <t>signal peptidase complex subunit 1 [Source:ZFIN;Acc:ZDB-GENE-050809-130]</t>
  </si>
  <si>
    <t>spcs1</t>
  </si>
  <si>
    <t>ENSDARG00000059298</t>
  </si>
  <si>
    <t>http://zfin.org/ZDB-GENE-040426-2592</t>
  </si>
  <si>
    <t>nicotinamide nucleotide transhydrogenase [Source:ZFIN;Acc:ZDB-GENE-040426-2592]</t>
  </si>
  <si>
    <t>nnt</t>
  </si>
  <si>
    <t>ENSDARG00000023536</t>
  </si>
  <si>
    <t>http://zfin.org/ZDB-GENE-000511-3</t>
  </si>
  <si>
    <t>death-associated protein [Source:ZFIN;Acc:ZDB-GENE-000511-3]</t>
  </si>
  <si>
    <t>dap</t>
  </si>
  <si>
    <t>ENSDARG00000000069</t>
  </si>
  <si>
    <t>http://zfin.org/ZDB-GENE-030131-970</t>
  </si>
  <si>
    <t>ribosomal protein L7-like 1 [Source:ZFIN;Acc:ZDB-GENE-030131-970]</t>
  </si>
  <si>
    <t>rpl7l1</t>
  </si>
  <si>
    <t>ENSDARG00000042864</t>
  </si>
  <si>
    <t>http://zfin.org/ZDB-GENE-080219-32</t>
  </si>
  <si>
    <t>protein phosphatase 4, catalytic subunit b [Source:ZFIN;Acc:ZDB-GENE-080219-32]</t>
  </si>
  <si>
    <t>ppp4cb</t>
  </si>
  <si>
    <t>ENSDARG00000076439</t>
  </si>
  <si>
    <t>http://zfin.org/ZDB-GENE-030131-448</t>
  </si>
  <si>
    <t>http://zfin.org/ZDB-GENE-090417-1</t>
  </si>
  <si>
    <t>FGFR1 oncogene partner [Source:ZFIN;Acc:ZDB-GENE-090417-1]</t>
  </si>
  <si>
    <t>fgfr1op</t>
  </si>
  <si>
    <t>ENSDARG00000003058</t>
  </si>
  <si>
    <t>http://zfin.org/ZDB-GENE-040426-2570</t>
  </si>
  <si>
    <t>transmembrane p24 trafficking protein 7 [Source:ZFIN;Acc:ZDB-GENE-040426-2570]</t>
  </si>
  <si>
    <t>tmed7</t>
  </si>
  <si>
    <t>ENSDARG00000046022</t>
  </si>
  <si>
    <t>http://zfin.org/ZDB-GENE-040426-893</t>
  </si>
  <si>
    <t>GAR1 homolog, ribonucleoprotein [Source:ZFIN;Acc:ZDB-GENE-040426-893]</t>
  </si>
  <si>
    <t>gar1</t>
  </si>
  <si>
    <t>ENSDARG00000076526</t>
  </si>
  <si>
    <t>http://zfin.org/ZDB-GENE-040927-8</t>
  </si>
  <si>
    <t>histidine triad nucleotide binding protein 1 [Source:ZFIN;Acc:ZDB-GENE-040927-8]</t>
  </si>
  <si>
    <t>hint1</t>
  </si>
  <si>
    <t>ENSDARG00000103824</t>
  </si>
  <si>
    <t>http://zfin.org/ZDB-GENE-040426-2487</t>
  </si>
  <si>
    <t>protein phosphatase 2, catalytic subunit, beta isozyme [Source:ZFIN;Acc:ZDB-GENE-040426-2487]</t>
  </si>
  <si>
    <t>ppp2cb</t>
  </si>
  <si>
    <t>ENSDARG00000099241</t>
  </si>
  <si>
    <t>http://zfin.org/ZDB-GENE-050522-117</t>
  </si>
  <si>
    <t>protein (peptidylprolyl cis/trans isomerase) NIMA-interacting, 4 (parvulin) [Source:ZFIN;Acc:ZDB-GENE-050522-117]</t>
  </si>
  <si>
    <t>pin4</t>
  </si>
  <si>
    <t>ENSDARG00000004527</t>
  </si>
  <si>
    <t>http://zfin.org/ZDB-GENE-030826-16</t>
  </si>
  <si>
    <t>tropomyosin 3 [Source:ZFIN;Acc:ZDB-GENE-030826-16]</t>
  </si>
  <si>
    <t>tpm3</t>
  </si>
  <si>
    <t>ENSDARG00000005162</t>
  </si>
  <si>
    <t>http://zfin.org/ZDB-GENE-030131-5431</t>
  </si>
  <si>
    <t>http://zfin.org/ZDB-GENE-030131-5455</t>
  </si>
  <si>
    <t>DnaJ (Hsp40) homolog, subfamily B, member 1b [Source:ZFIN;Acc:ZDB-GENE-030131-5455]</t>
  </si>
  <si>
    <t>dnajb1b</t>
  </si>
  <si>
    <t>ENSDARG00000041394</t>
  </si>
  <si>
    <t>http://zfin.org/ZDB-GENE-040426-2150</t>
  </si>
  <si>
    <t>ras homolog gene family, member Aa [Source:ZFIN;Acc:ZDB-GENE-040426-2150]</t>
  </si>
  <si>
    <t>rhoaa</t>
  </si>
  <si>
    <t>ENSDARG00000026845</t>
  </si>
  <si>
    <t>http://zfin.org/ZDB-GENE-980526-466</t>
  </si>
  <si>
    <t>http://zfin.org/ZDB-GENE-040426-2044</t>
  </si>
  <si>
    <t>cell division cycle 20 homolog [Source:ZFIN;Acc:ZDB-GENE-040426-2044]</t>
  </si>
  <si>
    <t>cdc20</t>
  </si>
  <si>
    <t>ENSDARG00000100741</t>
  </si>
  <si>
    <t>http://zfin.org/ZDB-GENE-040426-1288</t>
  </si>
  <si>
    <t>cysteine and histidine-rich domain (CHORD) containing 1b [Source:ZFIN;Acc:ZDB-GENE-040426-1288]</t>
  </si>
  <si>
    <t>chordc1b</t>
  </si>
  <si>
    <t>ENSDARG00000017067</t>
  </si>
  <si>
    <t>http://zfin.org/ZDB-GENE-030131-180</t>
  </si>
  <si>
    <t>http://zfin.org/ZDB-GENE-030131-5658</t>
  </si>
  <si>
    <t>NPL4 homolog, ubiquitin recognition factor [Source:ZFIN;Acc:ZDB-GENE-030131-5658]</t>
  </si>
  <si>
    <t>nploc4</t>
  </si>
  <si>
    <t>ENSDARG00000100487</t>
  </si>
  <si>
    <t>http://zfin.org/ZDB-GENE-030131-984</t>
  </si>
  <si>
    <t>proteasome 26S subunit, non-ATPase 11b [Source:ZFIN;Acc:ZDB-GENE-030131-984]</t>
  </si>
  <si>
    <t>psmd11b</t>
  </si>
  <si>
    <t>ENSDARG00000005134</t>
  </si>
  <si>
    <t>protein phosphatase 4 regulatory subunit 3B [Source:HGNC Symbol;Acc:HGNC:29267]</t>
  </si>
  <si>
    <t>PPP4R3B</t>
  </si>
  <si>
    <t>ENSDARG00000103415</t>
  </si>
  <si>
    <t>http://zfin.org/ZDB-GENE-040426-2319</t>
  </si>
  <si>
    <t>translocase of outer mitochondrial membrane 40 homolog, like [Source:ZFIN;Acc:ZDB-GENE-040426-2319]</t>
  </si>
  <si>
    <t>tomm40l</t>
  </si>
  <si>
    <t>ENSDARG00000036721</t>
  </si>
  <si>
    <t>http://zfin.org/ZDB-GENE-040718-227</t>
  </si>
  <si>
    <t>SEC11 homolog A, signal peptidase complex subunit [Source:ZFIN;Acc:ZDB-GENE-040718-227]</t>
  </si>
  <si>
    <t>sec11a</t>
  </si>
  <si>
    <t>ENSDARG00000008936</t>
  </si>
  <si>
    <t>http://zfin.org/ZDB-GENE-130531-42</t>
  </si>
  <si>
    <t>SH2 domain containing 4Bb [Source:ZFIN;Acc:ZDB-GENE-130531-42]</t>
  </si>
  <si>
    <t>sh2d4bb</t>
  </si>
  <si>
    <t>ENSDARG00000015144</t>
  </si>
  <si>
    <t>http://zfin.org/ZDB-GENE-030131-4915</t>
  </si>
  <si>
    <t>transmembrane p24 trafficking protein 10 [Source:ZFIN;Acc:ZDB-GENE-030131-4915]</t>
  </si>
  <si>
    <t>tmed10</t>
  </si>
  <si>
    <t>ENSDARG00000041391</t>
  </si>
  <si>
    <t>http://zfin.org/ZDB-GENE-030131-6689</t>
  </si>
  <si>
    <t>http://zfin.org/ZDB-GENE-030131-3827</t>
  </si>
  <si>
    <t>eukaryotic translation initiation factor 3, subunit E, a [Source:ZFIN;Acc:ZDB-GENE-030131-3827]</t>
  </si>
  <si>
    <t>eif3ea</t>
  </si>
  <si>
    <t>ENSDARG00000090697</t>
  </si>
  <si>
    <t>http://zfin.org/ZDB-GENE-030131-2412</t>
  </si>
  <si>
    <t>heat shock protein 4 like [Source:ZFIN;Acc:ZDB-GENE-030131-2412]</t>
  </si>
  <si>
    <t>hspa4l</t>
  </si>
  <si>
    <t>ENSDARG00000053544</t>
  </si>
  <si>
    <t>http://zfin.org/ZDB-GENE-030616-54</t>
  </si>
  <si>
    <t>http://zfin.org/ZDB-GENE-040426-1669</t>
  </si>
  <si>
    <t>GID complex subunit 8 homolog a (S. cerevisiae) [Source:ZFIN;Acc:ZDB-GENE-040426-1669]</t>
  </si>
  <si>
    <t>gid8a</t>
  </si>
  <si>
    <t>ENSDARG00000022768</t>
  </si>
  <si>
    <t>http://zfin.org/ZDB-GENE-030131-7676</t>
  </si>
  <si>
    <t>ubiquitin specific peptidase 14 (tRNA-guanine transglycosylase) [Source:ZFIN;Acc:ZDB-GENE-030131-7676]</t>
  </si>
  <si>
    <t>usp14</t>
  </si>
  <si>
    <t>ENSDARG00000025889</t>
  </si>
  <si>
    <t>http://zfin.org/ZDB-GENE-031118-2</t>
  </si>
  <si>
    <t>http://zfin.org/ZDB-GENE-041008-25</t>
  </si>
  <si>
    <t>RNA (guanine-7-) methyltransferase [Source:ZFIN;Acc:ZDB-GENE-041008-25]</t>
  </si>
  <si>
    <t>rnmt</t>
  </si>
  <si>
    <t>ENSDARG00000070553</t>
  </si>
  <si>
    <t>http://zfin.org/ZDB-GENE-040426-1333</t>
  </si>
  <si>
    <t>surfeit 6 [Source:ZFIN;Acc:ZDB-GENE-040426-1333]</t>
  </si>
  <si>
    <t>surf6</t>
  </si>
  <si>
    <t>ENSDARG00000035427</t>
  </si>
  <si>
    <t>http://zfin.org/ZDB-GENE-061103-64</t>
  </si>
  <si>
    <t>glucose-fructose oxidoreductase domain containing 2 [Source:ZFIN;Acc:ZDB-GENE-061103-64]</t>
  </si>
  <si>
    <t>gfod2</t>
  </si>
  <si>
    <t>ENSDARG00000061145</t>
  </si>
  <si>
    <t>http://zfin.org/ZDB-GENE-050522-307</t>
  </si>
  <si>
    <t>mitogen-activated protein kinase 15 [Source:ZFIN;Acc:ZDB-GENE-050522-307]</t>
  </si>
  <si>
    <t>mapk15</t>
  </si>
  <si>
    <t>ENSDARG00000100822</t>
  </si>
  <si>
    <t>http://zfin.org/ZDB-GENE-040801-226</t>
  </si>
  <si>
    <t>cell cycle associated protein 1a [Source:ZFIN;Acc:ZDB-GENE-040801-226]</t>
  </si>
  <si>
    <t>caprin1a</t>
  </si>
  <si>
    <t>ENSDARG00000009346</t>
  </si>
  <si>
    <t>http://zfin.org/ZDB-GENE-030318-3</t>
  </si>
  <si>
    <t>http://zfin.org/ZDB-GENE-050522-405</t>
  </si>
  <si>
    <t>ADP-ribosylation factor-like 6 interacting protein 4 [Source:ZFIN;Acc:ZDB-GENE-050522-405]</t>
  </si>
  <si>
    <t>arl6ip4</t>
  </si>
  <si>
    <t>ENSDARG00000105036</t>
  </si>
  <si>
    <t>http://zfin.org/ZDB-GENE-040426-2687</t>
  </si>
  <si>
    <t>bromodomain containing 7 [Source:ZFIN;Acc:ZDB-GENE-040426-2687]</t>
  </si>
  <si>
    <t>brd7</t>
  </si>
  <si>
    <t>ENSDARG00000008380</t>
  </si>
  <si>
    <t>http://zfin.org/ZDB-GENE-030219-167</t>
  </si>
  <si>
    <t>ADP-ribosylation factor-like 4ab [Source:ZFIN;Acc:ZDB-GENE-030219-167]</t>
  </si>
  <si>
    <t>arl4ab</t>
  </si>
  <si>
    <t>ENSDARG00000033182</t>
  </si>
  <si>
    <t>http://zfin.org/ZDB-GENE-040426-1652</t>
  </si>
  <si>
    <t>LSM4 homolog, U6 small nuclear RNA and mRNA degradation associated [Source:ZFIN;Acc:ZDB-GENE-040426-1652]</t>
  </si>
  <si>
    <t>lsm4</t>
  </si>
  <si>
    <t>ENSDARG00000023852</t>
  </si>
  <si>
    <t>http://zfin.org/ZDB-GENE-060929-232</t>
  </si>
  <si>
    <t>mediator complex subunit 19a [Source:ZFIN;Acc:ZDB-GENE-060929-232]</t>
  </si>
  <si>
    <t>med19a</t>
  </si>
  <si>
    <t>ENSDARG00000037392</t>
  </si>
  <si>
    <t>http://zfin.org/ZDB-GENE-141212-376</t>
  </si>
  <si>
    <t>http://zfin.org/ZDB-GENE-030131-2416</t>
  </si>
  <si>
    <t>http://zfin.org/ZDB-GENE-040426-770</t>
  </si>
  <si>
    <t>protein kinase C substrate 80K-H [Source:ZFIN;Acc:ZDB-GENE-040426-770]</t>
  </si>
  <si>
    <t>prkcsh</t>
  </si>
  <si>
    <t>ENSDARG00000004470</t>
  </si>
  <si>
    <t>http://zfin.org/ZDB-GENE-990415-8</t>
  </si>
  <si>
    <t>paired box 2a [Source:ZFIN;Acc:ZDB-GENE-990415-8]</t>
  </si>
  <si>
    <t>pax2a</t>
  </si>
  <si>
    <t>ENSDARG00000028148</t>
  </si>
  <si>
    <t>http://zfin.org/ZDB-GENE-030616-538</t>
  </si>
  <si>
    <t>tubulin, gamma complex associated protein 3 [Source:ZFIN;Acc:ZDB-GENE-030616-538]</t>
  </si>
  <si>
    <t>tubgcp3</t>
  </si>
  <si>
    <t>ENSDARG00000029133</t>
  </si>
  <si>
    <t>http://zfin.org/ZDB-GENE-030131-7649</t>
  </si>
  <si>
    <t>ATP synthase, H+ transporting, mitochondrial F1 complex, delta subunit [Source:ZFIN;Acc:ZDB-GENE-030131-7649]</t>
  </si>
  <si>
    <t>atp5d</t>
  </si>
  <si>
    <t>ENSDARG00000019404</t>
  </si>
  <si>
    <t>http://zfin.org/ZDB-GENE-040718-187</t>
  </si>
  <si>
    <t>transmembrane protein 147 [Source:ZFIN;Acc:ZDB-GENE-040718-187]</t>
  </si>
  <si>
    <t>tmem147</t>
  </si>
  <si>
    <t>ENSDARG00000039913</t>
  </si>
  <si>
    <t>http://zfin.org/ZDB-GENE-070410-48</t>
  </si>
  <si>
    <t>small integral membrane protein 15 [Source:ZFIN;Acc:ZDB-GENE-070410-48]</t>
  </si>
  <si>
    <t>smim15</t>
  </si>
  <si>
    <t>ENSDARG00000086699</t>
  </si>
  <si>
    <t>http://zfin.org/ZDB-GENE-030131-2958</t>
  </si>
  <si>
    <t>cleavage stimulation factor, 3' pre-RNA, subunit 1 [Source:ZFIN;Acc:ZDB-GENE-030131-2958]</t>
  </si>
  <si>
    <t>cstf1</t>
  </si>
  <si>
    <t>ENSDARG00000044820</t>
  </si>
  <si>
    <t>http://zfin.org/ZDB-GENE-060421-5102</t>
  </si>
  <si>
    <t>glycerol-3-phosphate acyltransferase 4 [Source:ZFIN;Acc:ZDB-GENE-060421-5102]</t>
  </si>
  <si>
    <t>gpat4</t>
  </si>
  <si>
    <t>ENSDARG00000019897</t>
  </si>
  <si>
    <t>http://zfin.org/ZDB-GENE-040914-27</t>
  </si>
  <si>
    <t>LYR motif containing 2 [Source:ZFIN;Acc:ZDB-GENE-040914-27]</t>
  </si>
  <si>
    <t>lyrm2</t>
  </si>
  <si>
    <t>ENSDARG00000033138</t>
  </si>
  <si>
    <t>http://zfin.org/ZDB-GENE-030131-179</t>
  </si>
  <si>
    <t>increased sodium tolerance 1 homolog (yeast) [Source:ZFIN;Acc:ZDB-GENE-030131-179]</t>
  </si>
  <si>
    <t>ist1</t>
  </si>
  <si>
    <t>ENSDARG00000051888</t>
  </si>
  <si>
    <t>http://zfin.org/ZDB-GENE-031016-2</t>
  </si>
  <si>
    <t>http://zfin.org/ZDB-GENE-030131-7016</t>
  </si>
  <si>
    <t>circadian associated repressor of transcription a [Source:ZFIN;Acc:ZDB-GENE-030131-7016]</t>
  </si>
  <si>
    <t>ciarta</t>
  </si>
  <si>
    <t>ENSDARG00000058094</t>
  </si>
  <si>
    <t>http://zfin.org/ZDB-GENE-060825-315</t>
  </si>
  <si>
    <t>zgc:153293 [Source:ZFIN;Acc:ZDB-GENE-060825-315]</t>
  </si>
  <si>
    <t>zgc:153293</t>
  </si>
  <si>
    <t>ENSDARG00000098911</t>
  </si>
  <si>
    <t>http://zfin.org/ZDB-GENE-030131-34</t>
  </si>
  <si>
    <t>profilin 2 like [Source:ZFIN;Acc:ZDB-GENE-030131-34]</t>
  </si>
  <si>
    <t>pfn2l</t>
  </si>
  <si>
    <t>ENSDARG00000012682</t>
  </si>
  <si>
    <t>http://zfin.org/ZDB-GENE-041008-158</t>
  </si>
  <si>
    <t>G patch domain containing 4 [Source:ZFIN;Acc:ZDB-GENE-041008-158]</t>
  </si>
  <si>
    <t>gpatch4</t>
  </si>
  <si>
    <t>ENSDARG00000091931</t>
  </si>
  <si>
    <t>http://zfin.org/ZDB-GENE-030729-30</t>
  </si>
  <si>
    <t>SRA stem-loop interacting RNA binding protein [Source:ZFIN;Acc:ZDB-GENE-030729-30]</t>
  </si>
  <si>
    <t>slirp</t>
  </si>
  <si>
    <t>ENSDARG00000097753</t>
  </si>
  <si>
    <t>http://zfin.org/ZDB-GENE-040624-5</t>
  </si>
  <si>
    <t>CCCTC-binding factor (zinc finger protein) [Source:ZFIN;Acc:ZDB-GENE-040624-5]</t>
  </si>
  <si>
    <t>ctcf</t>
  </si>
  <si>
    <t>ENSDARG00000056621</t>
  </si>
  <si>
    <t>http://zfin.org/ZDB-GENE-030411-4</t>
  </si>
  <si>
    <t>selenoprotein T, 2 [Source:ZFIN;Acc:ZDB-GENE-030411-4]</t>
  </si>
  <si>
    <t>selt2</t>
  </si>
  <si>
    <t>ENSDARG00000023220</t>
  </si>
  <si>
    <t>http://zfin.org/ZDB-GENE-050626-97</t>
  </si>
  <si>
    <t>http://zfin.org/ZDB-GENE-110713-1</t>
  </si>
  <si>
    <t>heat shock cognate 70-kd protein, tandem duplicate 3 [Source:ZFIN;Acc:ZDB-GENE-110713-1]</t>
  </si>
  <si>
    <t>hsp70.3</t>
  </si>
  <si>
    <t>ENSDARG00000021924</t>
  </si>
  <si>
    <t>http://zfin.org/ZDB-GENE-040724-121</t>
  </si>
  <si>
    <t>KN motif and ankyrin repeat domains 2 [Source:ZFIN;Acc:ZDB-GENE-040724-121]</t>
  </si>
  <si>
    <t>kank2</t>
  </si>
  <si>
    <t>ENSDARG00000018393</t>
  </si>
  <si>
    <t>http://zfin.org/ZDB-GENE-030822-1</t>
  </si>
  <si>
    <t>tubulin, alpha 1b [Source:ZFIN;Acc:ZDB-GENE-030822-1]</t>
  </si>
  <si>
    <t>tuba1b</t>
  </si>
  <si>
    <t>ENSDARG00000045367</t>
  </si>
  <si>
    <t>http://zfin.org/ZDB-GENE-020419-27</t>
  </si>
  <si>
    <t>CR769769.2</t>
  </si>
  <si>
    <t>ENSDARG00000105445</t>
  </si>
  <si>
    <t>http://zfin.org/ZDB-GENE-070424-16</t>
  </si>
  <si>
    <t>ubiquitin associated protein 2a [Source:ZFIN;Acc:ZDB-GENE-070424-16]</t>
  </si>
  <si>
    <t>ubap2a</t>
  </si>
  <si>
    <t>ENSDARG00000088318</t>
  </si>
  <si>
    <t>http://zfin.org/ZDB-GENE-030131-683</t>
  </si>
  <si>
    <t>PGAM family member 5, serine/threonine protein phosphatase, mitochondrial [Source:ZFIN;Acc:ZDB-GENE-030131-683]</t>
  </si>
  <si>
    <t>pgam5</t>
  </si>
  <si>
    <t>ENSDARG00000035608</t>
  </si>
  <si>
    <t>http://zfin.org/ZDB-GENE-030131-8811</t>
  </si>
  <si>
    <t>small glutamine-rich tetratricopeptide repeat (TPR)-containing, alpha [Source:ZFIN;Acc:ZDB-GENE-030131-8811]</t>
  </si>
  <si>
    <t>sgta</t>
  </si>
  <si>
    <t>ENSDARG00000019941</t>
  </si>
  <si>
    <t>http://zfin.org/ZDB-GENE-031030-1</t>
  </si>
  <si>
    <t>TAR DNA binding protein, like [Source:ZFIN;Acc:ZDB-GENE-031030-1]</t>
  </si>
  <si>
    <t>tardbpl</t>
  </si>
  <si>
    <t>ENSDARG00000004452</t>
  </si>
  <si>
    <t>http://zfin.org/ZDB-GENE-040426-1877</t>
  </si>
  <si>
    <t>http://zfin.org/ZDB-GENE-030616-419</t>
  </si>
  <si>
    <t>FK506 binding protein 3 [Source:ZFIN;Acc:ZDB-GENE-030616-419]</t>
  </si>
  <si>
    <t>fkbp3</t>
  </si>
  <si>
    <t>ENSDARG00000098059</t>
  </si>
  <si>
    <t>http://zfin.org/ZDB-GENE-010328-19</t>
  </si>
  <si>
    <t>eukaryotic translation initiation factor 4h [Source:ZFIN;Acc:ZDB-GENE-010328-19]</t>
  </si>
  <si>
    <t>eif4h</t>
  </si>
  <si>
    <t>ENSDARG00000042252</t>
  </si>
  <si>
    <t>http://zfin.org/ZDB-GENE-040426-764</t>
  </si>
  <si>
    <t>nucleolar protein 10 [Source:ZFIN;Acc:ZDB-GENE-040426-764]</t>
  </si>
  <si>
    <t>nol10</t>
  </si>
  <si>
    <t>ENSDARG00000020077</t>
  </si>
  <si>
    <t>http://zfin.org/ZDB-GENE-050208-20</t>
  </si>
  <si>
    <t>eukaryotic translation initiation factor 5B [Source:ZFIN;Acc:ZDB-GENE-050208-20]</t>
  </si>
  <si>
    <t>eif5b</t>
  </si>
  <si>
    <t>ENSDARG00000016548</t>
  </si>
  <si>
    <t>http://zfin.org/ZDB-GENE-070912-481</t>
  </si>
  <si>
    <t>espin-like b [Source:ZFIN;Acc:ZDB-GENE-070912-481]</t>
  </si>
  <si>
    <t>espnlb</t>
  </si>
  <si>
    <t>ENSDARG00000093112</t>
  </si>
  <si>
    <t>http://zfin.org/ZDB-GENE-040426-2665</t>
  </si>
  <si>
    <t>ras homolog gene family, member Ac [Source:ZFIN;Acc:ZDB-GENE-040426-2665]</t>
  </si>
  <si>
    <t>rhoac</t>
  </si>
  <si>
    <t>ENSDARG00000099709</t>
  </si>
  <si>
    <t>http://zfin.org/ZDB-GENE-030710-1</t>
  </si>
  <si>
    <t>reticulon 4a [Source:ZFIN;Acc:ZDB-GENE-030710-1]</t>
  </si>
  <si>
    <t>rtn4a</t>
  </si>
  <si>
    <t>ENSDARG00000044601</t>
  </si>
  <si>
    <t>http://zfin.org/ZDB-GENE-030131-9174</t>
  </si>
  <si>
    <t>glycyl-tRNA synthetase [Source:ZFIN;Acc:ZDB-GENE-030131-9174]</t>
  </si>
  <si>
    <t>gars</t>
  </si>
  <si>
    <t>ENSDARG00000059070</t>
  </si>
  <si>
    <t>http://zfin.org/ZDB-GENE-030131-1500</t>
  </si>
  <si>
    <t>N-acetylneuraminic acid synthase a [Source:ZFIN;Acc:ZDB-GENE-030131-1500]</t>
  </si>
  <si>
    <t>nansa</t>
  </si>
  <si>
    <t>ENSDARG00000045620</t>
  </si>
  <si>
    <t>http://zfin.org/ZDB-GENE-030131-5162</t>
  </si>
  <si>
    <t>cytochrome c oxidase subunit Vab [Source:ZFIN;Acc:ZDB-GENE-030131-5162]</t>
  </si>
  <si>
    <t>cox5ab</t>
  </si>
  <si>
    <t>ENSDARG00000099663</t>
  </si>
  <si>
    <t>http://zfin.org/ZDB-GENE-071004-41</t>
  </si>
  <si>
    <t>microtubule-associated protein, RP/EB family, member 2 [Source:ZFIN;Acc:ZDB-GENE-071004-41]</t>
  </si>
  <si>
    <t>mapre2</t>
  </si>
  <si>
    <t>ENSDARG00000099943</t>
  </si>
  <si>
    <t>http://zfin.org/ZDB-GENE-070912-332</t>
  </si>
  <si>
    <t>si:ch73-18b11.1 [Source:ZFIN;Acc:ZDB-GENE-070912-332]</t>
  </si>
  <si>
    <t>EPB41L2</t>
  </si>
  <si>
    <t>ENSDARG00000093374</t>
  </si>
  <si>
    <t>http://zfin.org/ZDB-GENE-030904-6</t>
  </si>
  <si>
    <t>protein phosphatase 2, regulatory subunit B', epsilon isoform b [Source:ZFIN;Acc:ZDB-GENE-030904-6]</t>
  </si>
  <si>
    <t>ppp2r5eb</t>
  </si>
  <si>
    <t>ENSDARG00000069118</t>
  </si>
  <si>
    <t>http://zfin.org/ZDB-GENE-040808-19</t>
  </si>
  <si>
    <t>eukaryotic translation initiation factor 3, subunit H, a [Source:ZFIN;Acc:ZDB-GENE-040808-19]</t>
  </si>
  <si>
    <t>eif3ha</t>
  </si>
  <si>
    <t>ENSDARG00000102452</t>
  </si>
  <si>
    <t>CABZ01058261.1</t>
  </si>
  <si>
    <t>http://zfin.org/ZDB-GENE-030408-5</t>
  </si>
  <si>
    <t>BCAS2, pre-mRNA processing factor [Source:ZFIN;Acc:ZDB-GENE-030408-5]</t>
  </si>
  <si>
    <t>bcas2</t>
  </si>
  <si>
    <t>ENSDARG00000043631</t>
  </si>
  <si>
    <t>http://zfin.org/ZDB-GENE-040426-2379</t>
  </si>
  <si>
    <t>http://zfin.org/ZDB-GENE-980526-104</t>
  </si>
  <si>
    <t>tenascin C [Source:ZFIN;Acc:ZDB-GENE-980526-104]</t>
  </si>
  <si>
    <t>tnc</t>
  </si>
  <si>
    <t>ENSDARG00000021948</t>
  </si>
  <si>
    <t>http://zfin.org/ZDB-GENE-060825-216</t>
  </si>
  <si>
    <t>ADP-ribosylation factor-like 14 effector protein [Source:ZFIN;Acc:ZDB-GENE-060825-216]</t>
  </si>
  <si>
    <t>arl14ep</t>
  </si>
  <si>
    <t>ENSDARG00000001210</t>
  </si>
  <si>
    <t>http://zfin.org/ZDB-GENE-030616-631</t>
  </si>
  <si>
    <t>serine/arginine-rich splicing factor 3a [Source:ZFIN;Acc:ZDB-GENE-030616-631]</t>
  </si>
  <si>
    <t>ENSDARG00000025397</t>
  </si>
  <si>
    <t>http://zfin.org/ZDB-GENE-000616-10</t>
  </si>
  <si>
    <t>smx5 [Source:ZFIN;Acc:ZDB-GENE-000616-10]</t>
  </si>
  <si>
    <t>smx5</t>
  </si>
  <si>
    <t>ENSDARG00000070867</t>
  </si>
  <si>
    <t>http://zfin.org/ZDB-GENE-030131-8485</t>
  </si>
  <si>
    <t>bleomycin hydrolase [Source:ZFIN;Acc:ZDB-GENE-030131-8485]</t>
  </si>
  <si>
    <t>blmh</t>
  </si>
  <si>
    <t>ENSDARG00000025977</t>
  </si>
  <si>
    <t>http://zfin.org/ZDB-GENE-031002-10</t>
  </si>
  <si>
    <t>ras homolog family member V [Source:ZFIN;Acc:ZDB-GENE-031002-10]</t>
  </si>
  <si>
    <t>rhov</t>
  </si>
  <si>
    <t>ENSDARG00000070434</t>
  </si>
  <si>
    <t>http://zfin.org/ZDB-GENE-030131-2433</t>
  </si>
  <si>
    <t>midnolin [Source:ZFIN;Acc:ZDB-GENE-030131-2433]</t>
  </si>
  <si>
    <t>midn</t>
  </si>
  <si>
    <t>ENSDARG00000018524</t>
  </si>
  <si>
    <t>http://zfin.org/ZDB-GENE-040426-2797</t>
  </si>
  <si>
    <t>http://zfin.org/ZDB-GENE-040426-1811</t>
  </si>
  <si>
    <t>zgc:77262 [Source:ZFIN;Acc:ZDB-GENE-040426-1811]</t>
  </si>
  <si>
    <t>zgc:77262</t>
  </si>
  <si>
    <t>ENSDARG00000044545</t>
  </si>
  <si>
    <t>http://zfin.org/ZDB-GENE-070928-1</t>
  </si>
  <si>
    <t>splicing factor 3b, subunit 2 [Source:ZFIN;Acc:ZDB-GENE-070928-1]</t>
  </si>
  <si>
    <t>sf3b2</t>
  </si>
  <si>
    <t>ENSDARG00000018049</t>
  </si>
  <si>
    <t>http://zfin.org/ZDB-GENE-050417-344</t>
  </si>
  <si>
    <t>transmembrane and coiled-coil domains 1 [Source:ZFIN;Acc:ZDB-GENE-050417-344]</t>
  </si>
  <si>
    <t>tmco1</t>
  </si>
  <si>
    <t>ENSDARG00000069099</t>
  </si>
  <si>
    <t>http://zfin.org/ZDB-GENE-040718-450</t>
  </si>
  <si>
    <t>density-regulated protein [Source:ZFIN;Acc:ZDB-GENE-040718-450]</t>
  </si>
  <si>
    <t>denr</t>
  </si>
  <si>
    <t>ENSDARG00000037229</t>
  </si>
  <si>
    <t>http://zfin.org/ZDB-GENE-030131-3606</t>
  </si>
  <si>
    <t>microtubule-actin crosslinking factor 1a [Source:ZFIN;Acc:ZDB-GENE-030131-3606]</t>
  </si>
  <si>
    <t>macf1a</t>
  </si>
  <si>
    <t>ENSDARG00000028533</t>
  </si>
  <si>
    <t>http://zfin.org/ZDB-GENE-990603-10</t>
  </si>
  <si>
    <t>tumor protein, translationally-controlled 1 [Source:ZFIN;Acc:ZDB-GENE-990603-10]</t>
  </si>
  <si>
    <t>tpt1</t>
  </si>
  <si>
    <t>ENSDARG00000092693</t>
  </si>
  <si>
    <t>http://zfin.org/ZDB-GENE-030131-591</t>
  </si>
  <si>
    <t>serine/arginine-rich splicing factor 4 [Source:ZFIN;Acc:ZDB-GENE-030131-591]</t>
  </si>
  <si>
    <t>srsf4</t>
  </si>
  <si>
    <t>ENSDARG00000105293</t>
  </si>
  <si>
    <t>http://zfin.org/ZDB-GENE-020419-31</t>
  </si>
  <si>
    <t>nuclear cap binding protein subunit 2 [Source:ZFIN;Acc:ZDB-GENE-020419-31]</t>
  </si>
  <si>
    <t>ncbp2</t>
  </si>
  <si>
    <t>ENSDARG00000014898</t>
  </si>
  <si>
    <t>http://zfin.org/ZDB-GENE-040718-311</t>
  </si>
  <si>
    <t>signal recognition particle receptor, B subunit [Source:ZFIN;Acc:ZDB-GENE-040718-311]</t>
  </si>
  <si>
    <t>srprb</t>
  </si>
  <si>
    <t>ENSDARG00000030949</t>
  </si>
  <si>
    <t>http://zfin.org/ZDB-GENE-030131-2220</t>
  </si>
  <si>
    <t>http://zfin.org/ZDB-GENE-030131-9810</t>
  </si>
  <si>
    <t>translocase of outer mitochondrial membrane 22 homolog (yeast) [Source:ZFIN;Acc:ZDB-GENE-030131-9810]</t>
  </si>
  <si>
    <t>tomm22</t>
  </si>
  <si>
    <t>ENSDARG00000045146</t>
  </si>
  <si>
    <t>http://zfin.org/ZDB-GENE-040625-21</t>
  </si>
  <si>
    <t>SUMO1 activating enzyme subunit 1 [Source:ZFIN;Acc:ZDB-GENE-040625-21]</t>
  </si>
  <si>
    <t>sae1</t>
  </si>
  <si>
    <t>ENSDARG00000010487</t>
  </si>
  <si>
    <t>BX649442.2</t>
  </si>
  <si>
    <t>ENSDARG00000097108</t>
  </si>
  <si>
    <t>http://zfin.org/ZDB-GENE-040426-2096</t>
  </si>
  <si>
    <t>RNA 2',3'-cyclic phosphate and 5'-OH ligase [Source:ZFIN;Acc:ZDB-GENE-040426-2096]</t>
  </si>
  <si>
    <t>rtcb</t>
  </si>
  <si>
    <t>ENSDARG00000101047</t>
  </si>
  <si>
    <t>http://zfin.org/ZDB-GENE-030131-3251</t>
  </si>
  <si>
    <t>protein phosphatase 6, regulatory subunit 3 [Source:ZFIN;Acc:ZDB-GENE-030131-3251]</t>
  </si>
  <si>
    <t>ppp6r3</t>
  </si>
  <si>
    <t>ENSDARG00000013379</t>
  </si>
  <si>
    <t>http://zfin.org/ZDB-GENE-040715-6</t>
  </si>
  <si>
    <t>mitochondrial ribosomal protein S33 [Source:ZFIN;Acc:ZDB-GENE-040715-6]</t>
  </si>
  <si>
    <t>mrps33</t>
  </si>
  <si>
    <t>ENSDARG00000020015</t>
  </si>
  <si>
    <t>http://zfin.org/ZDB-GENE-040801-218</t>
  </si>
  <si>
    <t>http://zfin.org/ZDB-GENE-031018-2</t>
  </si>
  <si>
    <t>http://zfin.org/ZDB-GENE-011003-1</t>
  </si>
  <si>
    <t>alcohol dehydrogenase 5 [Source:ZFIN;Acc:ZDB-GENE-011003-1]</t>
  </si>
  <si>
    <t>adh5</t>
  </si>
  <si>
    <t>ENSDARG00000080010</t>
  </si>
  <si>
    <t>http://zfin.org/ZDB-GENE-050417-110</t>
  </si>
  <si>
    <t>family with sequence similarity 50, member A [Source:ZFIN;Acc:ZDB-GENE-050417-110]</t>
  </si>
  <si>
    <t>fam50a</t>
  </si>
  <si>
    <t>ENSDARG00000024895</t>
  </si>
  <si>
    <t>http://zfin.org/ZDB-GENE-040426-1923</t>
  </si>
  <si>
    <t>heterogeneous nuclear ribonucleoprotein K, like [Source:ZFIN;Acc:ZDB-GENE-040426-1923]</t>
  </si>
  <si>
    <t>hnrpkl</t>
  </si>
  <si>
    <t>ENSDARG00000007034</t>
  </si>
  <si>
    <t>http://zfin.org/ZDB-GENE-031114-2</t>
  </si>
  <si>
    <t>family with sequence similarity 60, member A, like [Source:ZFIN;Acc:ZDB-GENE-031114-2]</t>
  </si>
  <si>
    <t>fam60al</t>
  </si>
  <si>
    <t>ENSDARG00000078118</t>
  </si>
  <si>
    <t>http://zfin.org/ZDB-GENE-030131-2711</t>
  </si>
  <si>
    <t>http://zfin.org/ZDB-GENE-040426-2159</t>
  </si>
  <si>
    <t>far upstream element (FUSE) binding protein 1 [Source:ZFIN;Acc:ZDB-GENE-040426-2159]</t>
  </si>
  <si>
    <t>fubp1</t>
  </si>
  <si>
    <t>ENSDARG00000029248</t>
  </si>
  <si>
    <t>http://zfin.org/ZDB-GENE-020424-2</t>
  </si>
  <si>
    <t>lamin B1 [Source:ZFIN;Acc:ZDB-GENE-020424-2]</t>
  </si>
  <si>
    <t>lmnb1</t>
  </si>
  <si>
    <t>ENSDARG00000044299</t>
  </si>
  <si>
    <t>http://zfin.org/ZDB-GENE-020318-2</t>
  </si>
  <si>
    <t>fatty acid binding protein 3, muscle and heart [Source:ZFIN;Acc:ZDB-GENE-020318-2]</t>
  </si>
  <si>
    <t>fabp3</t>
  </si>
  <si>
    <t>ENSDARG00000023290</t>
  </si>
  <si>
    <t>http://zfin.org/ZDB-GENE-041014-359</t>
  </si>
  <si>
    <t>feline leukemia virus subgroup C cellular receptor 1 [Source:ZFIN;Acc:ZDB-GENE-041014-359]</t>
  </si>
  <si>
    <t>flvcr1</t>
  </si>
  <si>
    <t>ENSDARG00000031587</t>
  </si>
  <si>
    <t>http://zfin.org/ZDB-GENE-030828-12</t>
  </si>
  <si>
    <t>heat shock protein 9 [Source:ZFIN;Acc:ZDB-GENE-030828-12]</t>
  </si>
  <si>
    <t>hspa9</t>
  </si>
  <si>
    <t>ENSDARG00000003035</t>
  </si>
  <si>
    <t>http://zfin.org/ZDB-GENE-021217-1</t>
  </si>
  <si>
    <t>mediator complex subunit 29 [Source:ZFIN;Acc:ZDB-GENE-021217-1]</t>
  </si>
  <si>
    <t>med29</t>
  </si>
  <si>
    <t>ENSDARG00000026448</t>
  </si>
  <si>
    <t>http://zfin.org/ZDB-GENE-050522-388</t>
  </si>
  <si>
    <t>http://zfin.org/ZDB-GENE-000510-1</t>
  </si>
  <si>
    <t>Ras homolog enriched in brain like 1 [Source:ZFIN;Acc:ZDB-GENE-000510-1]</t>
  </si>
  <si>
    <t>rhebl1</t>
  </si>
  <si>
    <t>ENSDARG00000039162</t>
  </si>
  <si>
    <t>http://zfin.org/ZDB-GENE-030131-5045</t>
  </si>
  <si>
    <t>CCHC-type zinc finger, nucleic acid binding protein a [Source:ZFIN;Acc:ZDB-GENE-030131-5045]</t>
  </si>
  <si>
    <t>cnbpa</t>
  </si>
  <si>
    <t>ENSDARG00000045776</t>
  </si>
  <si>
    <t>http://zfin.org/ZDB-GENE-030131-7459</t>
  </si>
  <si>
    <t>peptidylprolyl isomerase Ab (cyclophilin A) [Source:ZFIN;Acc:ZDB-GENE-030131-7459]</t>
  </si>
  <si>
    <t>ppiab</t>
  </si>
  <si>
    <t>ENSDARG00000103994</t>
  </si>
  <si>
    <t>http://zfin.org/ZDB-GENE-081028-51</t>
  </si>
  <si>
    <t>early B-cell factor 1a [Source:ZFIN;Acc:ZDB-GENE-081028-51]</t>
  </si>
  <si>
    <t>ebf1a</t>
  </si>
  <si>
    <t>ENSDARG00000099849</t>
  </si>
  <si>
    <t>http://zfin.org/ZDB-GENE-040625-15</t>
  </si>
  <si>
    <t>COP9 signalosome subunit 2 [Source:ZFIN;Acc:ZDB-GENE-040625-15]</t>
  </si>
  <si>
    <t>cops2</t>
  </si>
  <si>
    <t>ENSDARG00000004785</t>
  </si>
  <si>
    <t>http://zfin.org/ZDB-GENE-041010-21</t>
  </si>
  <si>
    <t>methyltransferase like 5 [Source:ZFIN;Acc:ZDB-GENE-041010-21]</t>
  </si>
  <si>
    <t>mettl5</t>
  </si>
  <si>
    <t>ENSDARG00000068893</t>
  </si>
  <si>
    <t>http://zfin.org/ZDB-GENE-030131-341</t>
  </si>
  <si>
    <t>http://zfin.org/ZDB-GENE-030815-1</t>
  </si>
  <si>
    <t>transmembrane protein 35 [Source:ZFIN;Acc:ZDB-GENE-030815-1]</t>
  </si>
  <si>
    <t>tmem35</t>
  </si>
  <si>
    <t>ENSDARG00000052567</t>
  </si>
  <si>
    <t>http://zfin.org/ZDB-GENE-050706-143</t>
  </si>
  <si>
    <t>transmembrane protein with EGF-like and two follistatin-like domains 1b [Source:ZFIN;Acc:ZDB-GENE-050706-143]</t>
  </si>
  <si>
    <t>tmeff1b</t>
  </si>
  <si>
    <t>ENSDARG00000056740</t>
  </si>
  <si>
    <t>http://zfin.org/ZDB-GENE-011205-18</t>
  </si>
  <si>
    <t>ATP synthase 6, mitochondrial [Source:ZFIN;Acc:ZDB-GENE-011205-18]</t>
  </si>
  <si>
    <t>mt-atp6</t>
  </si>
  <si>
    <t>ENSDARG00000063911</t>
  </si>
  <si>
    <t>http://zfin.org/ZDB-GENE-030131-8480</t>
  </si>
  <si>
    <t>high mobility group box 1b [Source:ZFIN;Acc:ZDB-GENE-030131-8480]</t>
  </si>
  <si>
    <t>hmgb1b</t>
  </si>
  <si>
    <t>ENSDARG00000030479</t>
  </si>
  <si>
    <t>http://zfin.org/ZDB-GENE-050320-129</t>
  </si>
  <si>
    <t>neudesin neurotrophic factor [Source:ZFIN;Acc:ZDB-GENE-050320-129]</t>
  </si>
  <si>
    <t>nenf</t>
  </si>
  <si>
    <t>ENSDARG00000040192</t>
  </si>
  <si>
    <t>http://zfin.org/ZDB-GENE-050417-13</t>
  </si>
  <si>
    <t>nuclear transcription factor Y, beta a [Source:ZFIN;Acc:ZDB-GENE-050417-13]</t>
  </si>
  <si>
    <t>nfyba</t>
  </si>
  <si>
    <t>ENSDARG00000039185</t>
  </si>
  <si>
    <t>http://zfin.org/ZDB-GENE-030131-3273</t>
  </si>
  <si>
    <t>PC4 and SFRS1 interacting protein 1b [Source:ZFIN;Acc:ZDB-GENE-030131-3273]</t>
  </si>
  <si>
    <t>psip1b</t>
  </si>
  <si>
    <t>ENSDARG00000077405</t>
  </si>
  <si>
    <t>http://zfin.org/ZDB-GENE-000329-1</t>
  </si>
  <si>
    <t>http://zfin.org/ZDB-GENE-050208-72</t>
  </si>
  <si>
    <t>cingulin b [Source:ZFIN;Acc:ZDB-GENE-050208-72]</t>
  </si>
  <si>
    <t>cgnb</t>
  </si>
  <si>
    <t>ENSDARG00000058690</t>
  </si>
  <si>
    <t>http://zfin.org/ZDB-GENE-980526-362</t>
  </si>
  <si>
    <t>catenin (cadherin-associated protein), beta 1 [Source:ZFIN;Acc:ZDB-GENE-980526-362]</t>
  </si>
  <si>
    <t>ctnnb1</t>
  </si>
  <si>
    <t>ENSDARG00000014571</t>
  </si>
  <si>
    <t>http://zfin.org/ZDB-GENE-040426-810</t>
  </si>
  <si>
    <t>proteasome 26S subunit, non-ATPase 1 [Source:ZFIN;Acc:ZDB-GENE-040426-810]</t>
  </si>
  <si>
    <t>psmd1</t>
  </si>
  <si>
    <t>ENSDARG00000003189</t>
  </si>
  <si>
    <t>http://zfin.org/ZDB-GENE-051120-114</t>
  </si>
  <si>
    <t>http://zfin.org/ZDB-GENE-050506-118</t>
  </si>
  <si>
    <t>http://zfin.org/ZDB-GENE-060720-44</t>
  </si>
  <si>
    <t>si:dkey-276j7.1 [Source:ZFIN;Acc:ZDB-GENE-060720-44]</t>
  </si>
  <si>
    <t>si:dkey-276j7.1</t>
  </si>
  <si>
    <t>ENSDARG00000090872</t>
  </si>
  <si>
    <t>http://zfin.org/ZDB-GENE-010201-1</t>
  </si>
  <si>
    <t>SIX homeobox 4b [Source:ZFIN;Acc:ZDB-GENE-010201-1]</t>
  </si>
  <si>
    <t>six4b</t>
  </si>
  <si>
    <t>ENSDARG00000031983</t>
  </si>
  <si>
    <t>http://zfin.org/ZDB-GENE-010726-1</t>
  </si>
  <si>
    <t>http://zfin.org/ZDB-GENE-091207-2</t>
  </si>
  <si>
    <t>mediator complex subunit 11 [Source:ZFIN;Acc:ZDB-GENE-091207-2]</t>
  </si>
  <si>
    <t>med11</t>
  </si>
  <si>
    <t>ENSDARG00000086416</t>
  </si>
  <si>
    <t>http://zfin.org/ZDB-GENE-040625-104</t>
  </si>
  <si>
    <t>http://zfin.org/ZDB-GENE-070928-23</t>
  </si>
  <si>
    <t>activating transcription factor 4b [Source:ZFIN;Acc:ZDB-GENE-070928-23]</t>
  </si>
  <si>
    <t>atf4b</t>
  </si>
  <si>
    <t>ENSDARG00000038141</t>
  </si>
  <si>
    <t>http://zfin.org/ZDB-GENE-040718-252</t>
  </si>
  <si>
    <t>YEATS domain containing 4 [Source:ZFIN;Acc:ZDB-GENE-040718-252]</t>
  </si>
  <si>
    <t>yeats4</t>
  </si>
  <si>
    <t>ENSDARG00000045874</t>
  </si>
  <si>
    <t>http://zfin.org/ZDB-GENE-030131-3893</t>
  </si>
  <si>
    <t>si:dkey-153k10.9 [Source:ZFIN;Acc:ZDB-GENE-030131-3893]</t>
  </si>
  <si>
    <t>si:dkey-153k10.9</t>
  </si>
  <si>
    <t>ENSDARG00000004386</t>
  </si>
  <si>
    <t>http://zfin.org/ZDB-GENE-100729-2</t>
  </si>
  <si>
    <t>La ribonucleoprotein domain family, member 4Ab [Source:ZFIN;Acc:ZDB-GENE-100729-2]</t>
  </si>
  <si>
    <t>larp4ab</t>
  </si>
  <si>
    <t>ENSDARG00000074979</t>
  </si>
  <si>
    <t>http://zfin.org/ZDB-GENE-040625-140</t>
  </si>
  <si>
    <t>transmembrane p24 trafficking protein 4 [Source:ZFIN;Acc:ZDB-GENE-040625-140]</t>
  </si>
  <si>
    <t>tmed4</t>
  </si>
  <si>
    <t>ENSDARG00000024954</t>
  </si>
  <si>
    <t>http://zfin.org/ZDB-GENE-040426-2648</t>
  </si>
  <si>
    <t>http://zfin.org/ZDB-GENE-040426-1235</t>
  </si>
  <si>
    <t>vacuolar protein sorting 4b homolog B (S. cerevisiae) [Source:ZFIN;Acc:ZDB-GENE-040426-1235]</t>
  </si>
  <si>
    <t>vps4b</t>
  </si>
  <si>
    <t>ENSDARG00000069175</t>
  </si>
  <si>
    <t>http://zfin.org/ZDB-GENE-030131-4803</t>
  </si>
  <si>
    <t>metastasis associated 1 family, member 2 [Source:ZFIN;Acc:ZDB-GENE-030131-4803]</t>
  </si>
  <si>
    <t>mta2</t>
  </si>
  <si>
    <t>ENSDARG00000013031</t>
  </si>
  <si>
    <t>http://zfin.org/ZDB-GENE-040116-8</t>
  </si>
  <si>
    <t>growth factor independent 1A transcription repressor b [Source:ZFIN;Acc:ZDB-GENE-040116-8]</t>
  </si>
  <si>
    <t>gfi1ab</t>
  </si>
  <si>
    <t>ENSDARG00000044457</t>
  </si>
  <si>
    <t>http://zfin.org/ZDB-GENE-030131-9077</t>
  </si>
  <si>
    <t>http://zfin.org/ZDB-GENE-050417-96</t>
  </si>
  <si>
    <t>http://zfin.org/ZDB-GENE-050417-52</t>
  </si>
  <si>
    <t>mitochondrial ribosomal protein S25 [Source:ZFIN;Acc:ZDB-GENE-050417-52]</t>
  </si>
  <si>
    <t>mrps25</t>
  </si>
  <si>
    <t>ENSDARG00000041306</t>
  </si>
  <si>
    <t>http://zfin.org/ZDB-GENE-030131-13</t>
  </si>
  <si>
    <t>trinucleotide repeat containing 6b [Source:ZFIN;Acc:ZDB-GENE-030131-13]</t>
  </si>
  <si>
    <t>tnrc6b</t>
  </si>
  <si>
    <t>ENSDARG00000074161</t>
  </si>
  <si>
    <t>http://zfin.org/ZDB-GENE-030131-395</t>
  </si>
  <si>
    <t>apoptosis inhibitor 5 [Source:ZFIN;Acc:ZDB-GENE-030131-395]</t>
  </si>
  <si>
    <t>api5</t>
  </si>
  <si>
    <t>ENSDARG00000033597</t>
  </si>
  <si>
    <t>http://zfin.org/ZDB-GENE-040426-841</t>
  </si>
  <si>
    <t>coiled-coil domain containing 94 [Source:ZFIN;Acc:ZDB-GENE-040426-841]</t>
  </si>
  <si>
    <t>ccdc94</t>
  </si>
  <si>
    <t>ENSDARG00000026185</t>
  </si>
  <si>
    <t>http://zfin.org/ZDB-GENE-030131-6166</t>
  </si>
  <si>
    <t>eukaryotic translation initiation factor 3, subunit C [Source:ZFIN;Acc:ZDB-GENE-030131-6166]</t>
  </si>
  <si>
    <t>eif3c</t>
  </si>
  <si>
    <t>ENSDARG00000016443</t>
  </si>
  <si>
    <t>http://zfin.org/ZDB-GENE-040426-730</t>
  </si>
  <si>
    <t>receptor accessory protein 3b [Source:ZFIN;Acc:ZDB-GENE-040426-730]</t>
  </si>
  <si>
    <t>reep3b</t>
  </si>
  <si>
    <t>ENSDARG00000004160</t>
  </si>
  <si>
    <t>http://zfin.org/ZDB-GENE-060825-37</t>
  </si>
  <si>
    <t>SET domain containing (lysine methyltransferase) 8a [Source:ZFIN;Acc:ZDB-GENE-060825-37]</t>
  </si>
  <si>
    <t>setd8a</t>
  </si>
  <si>
    <t>ENSDARG00000105231</t>
  </si>
  <si>
    <t>http://zfin.org/ZDB-GENE-041212-71</t>
  </si>
  <si>
    <t>http://zfin.org/ZDB-GENE-080723-31</t>
  </si>
  <si>
    <t>unc-51 like autophagy activating kinase 1a [Source:ZFIN;Acc:ZDB-GENE-080723-31]</t>
  </si>
  <si>
    <t>ulk1a</t>
  </si>
  <si>
    <t>ENSDARG00000062518</t>
  </si>
  <si>
    <t>http://zfin.org/ZDB-GENE-061103-178</t>
  </si>
  <si>
    <t>http://zfin.org/ZDB-GENE-030131-587</t>
  </si>
  <si>
    <t>interleukin enhancer binding factor 3b [Source:ZFIN;Acc:ZDB-GENE-030131-587]</t>
  </si>
  <si>
    <t>ilf3b</t>
  </si>
  <si>
    <t>ENSDARG00000105177</t>
  </si>
  <si>
    <t>http://zfin.org/ZDB-GENE-030131-8731</t>
  </si>
  <si>
    <t>basic transcription factor 3 [Source:ZFIN;Acc:ZDB-GENE-030131-8731]</t>
  </si>
  <si>
    <t>btf3</t>
  </si>
  <si>
    <t>ENSDARG00000035400</t>
  </si>
  <si>
    <t>http://zfin.org/ZDB-GENE-030131-3136</t>
  </si>
  <si>
    <t>dihydropyrimidinase-like 5a [Source:ZFIN;Acc:ZDB-GENE-030131-3136]</t>
  </si>
  <si>
    <t>dpysl5a</t>
  </si>
  <si>
    <t>ENSDARG00000011141</t>
  </si>
  <si>
    <t>http://zfin.org/ZDB-GENE-040625-34</t>
  </si>
  <si>
    <t>peptidylprolyl isomerase D [Source:ZFIN;Acc:ZDB-GENE-040625-34]</t>
  </si>
  <si>
    <t>ppid</t>
  </si>
  <si>
    <t>ENSDARG00000038835</t>
  </si>
  <si>
    <t>http://zfin.org/ZDB-GENE-030131-5845</t>
  </si>
  <si>
    <t>si:dkey-67c22.2 [Source:ZFIN;Acc:ZDB-GENE-030131-5845]</t>
  </si>
  <si>
    <t>si:dkey-67c22.2</t>
  </si>
  <si>
    <t>ENSDARG00000055389</t>
  </si>
  <si>
    <t>http://zfin.org/ZDB-GENE-030707-1</t>
  </si>
  <si>
    <t>caspase activity and apoptosis inhibitor 1 [Source:HGNC Symbol;Acc:HGNC:25834]</t>
  </si>
  <si>
    <t>CAAP1</t>
  </si>
  <si>
    <t>ENSDARG00000079652</t>
  </si>
  <si>
    <t>http://zfin.org/ZDB-GENE-050913-90</t>
  </si>
  <si>
    <t>apelin receptor b [Source:ZFIN;Acc:ZDB-GENE-050913-90]</t>
  </si>
  <si>
    <t>aplnrb</t>
  </si>
  <si>
    <t>ENSDARG00000036670</t>
  </si>
  <si>
    <t>http://zfin.org/ZDB-GENE-040426-2340</t>
  </si>
  <si>
    <t>activating transcription factor 4a [Source:ZFIN;Acc:ZDB-GENE-040426-2340]</t>
  </si>
  <si>
    <t>atf4a</t>
  </si>
  <si>
    <t>ENSDARG00000039515</t>
  </si>
  <si>
    <t>http://zfin.org/ZDB-GENE-080229-6</t>
  </si>
  <si>
    <t>http://zfin.org/ZDB-GENE-040426-1415</t>
  </si>
  <si>
    <t>http://zfin.org/ZDB-GENE-070112-702</t>
  </si>
  <si>
    <t>eukaryotic translation initiation factor 4 gamma, 1a [Source:ZFIN;Acc:ZDB-GENE-070112-702]</t>
  </si>
  <si>
    <t>eif4g1a</t>
  </si>
  <si>
    <t>ENSDARG00000006200</t>
  </si>
  <si>
    <t>http://zfin.org/ZDB-GENE-030131-9345</t>
  </si>
  <si>
    <t>RRS1 ribosome biogenesis regulator homolog (S. cerevisiae) [Source:ZFIN;Acc:ZDB-GENE-030131-9345]</t>
  </si>
  <si>
    <t>rrs1</t>
  </si>
  <si>
    <t>ENSDARG00000003941</t>
  </si>
  <si>
    <t>http://zfin.org/ZDB-GENE-011018-2</t>
  </si>
  <si>
    <t>chaperonin containing TCP1, subunit 6A (zeta 1) [Source:ZFIN;Acc:ZDB-GENE-011018-2]</t>
  </si>
  <si>
    <t>cct6a</t>
  </si>
  <si>
    <t>ENSDARG00000021252</t>
  </si>
  <si>
    <t>http://zfin.org/ZDB-GENE-120206-1</t>
  </si>
  <si>
    <t>protocadherin 7a [Source:ZFIN;Acc:ZDB-GENE-120206-1]</t>
  </si>
  <si>
    <t>pcdh7a</t>
  </si>
  <si>
    <t>ENSDARG00000078898</t>
  </si>
  <si>
    <t>http://zfin.org/ZDB-GENE-050522-159</t>
  </si>
  <si>
    <t>peroxiredoxin 5 [Source:ZFIN;Acc:ZDB-GENE-050522-159]</t>
  </si>
  <si>
    <t>prdx5</t>
  </si>
  <si>
    <t>ENSDARG00000055064</t>
  </si>
  <si>
    <t>http://zfin.org/ZDB-GENE-040426-2343</t>
  </si>
  <si>
    <t>cytoplasmic linker associated protein 2 [Source:ZFIN;Acc:ZDB-GENE-040426-2343]</t>
  </si>
  <si>
    <t>clasp2</t>
  </si>
  <si>
    <t>ENSDARG00000020345</t>
  </si>
  <si>
    <t>http://zfin.org/ZDB-GENE-030131-4362</t>
  </si>
  <si>
    <t>nuclear receptor subfamily 2, group F, member 6a [Source:ZFIN;Acc:ZDB-GENE-030131-4362]</t>
  </si>
  <si>
    <t>nr2f6a</t>
  </si>
  <si>
    <t>ENSDARG00000003607</t>
  </si>
  <si>
    <t>http://zfin.org/ZDB-GENE-040426-1936</t>
  </si>
  <si>
    <t>http://zfin.org/ZDB-GENE-030131-925</t>
  </si>
  <si>
    <t>http://zfin.org/ZDB-GENE-041010-218</t>
  </si>
  <si>
    <t>threonyl-tRNA synthetase [Source:ZFIN;Acc:ZDB-GENE-041010-218]</t>
  </si>
  <si>
    <t>tars</t>
  </si>
  <si>
    <t>ENSDARG00000013250</t>
  </si>
  <si>
    <t>http://zfin.org/ZDB-GENE-091112-16</t>
  </si>
  <si>
    <t>http://zfin.org/ZDB-GENE-030131-2891</t>
  </si>
  <si>
    <t>poly-U binding splicing factor a [Source:ZFIN;Acc:ZDB-GENE-030131-2891]</t>
  </si>
  <si>
    <t>puf60a</t>
  </si>
  <si>
    <t>ENSDARG00000032175</t>
  </si>
  <si>
    <t>http://zfin.org/ZDB-GENE-030131-1005</t>
  </si>
  <si>
    <t>high mobility group nucleosome binding domain 6 [Source:ZFIN;Acc:ZDB-GENE-030131-1005]</t>
  </si>
  <si>
    <t>hmgn6</t>
  </si>
  <si>
    <t>ENSDARG00000087636</t>
  </si>
  <si>
    <t>http://zfin.org/ZDB-GENE-031118-9</t>
  </si>
  <si>
    <t>structure specific recognition protein 1a [Source:ZFIN;Acc:ZDB-GENE-031118-9]</t>
  </si>
  <si>
    <t>ssrp1a</t>
  </si>
  <si>
    <t>ENSDARG00000037397</t>
  </si>
  <si>
    <t>http://zfin.org/ZDB-GENE-040426-2401</t>
  </si>
  <si>
    <t>poly(A) binding protein, nuclear 1 [Source:ZFIN;Acc:ZDB-GENE-040426-2401]</t>
  </si>
  <si>
    <t>pabpn1</t>
  </si>
  <si>
    <t>ENSDARG00000045373</t>
  </si>
  <si>
    <t>http://zfin.org/ZDB-GENE-020402-5</t>
  </si>
  <si>
    <t>dachshund c [Source:ZFIN;Acc:ZDB-GENE-020402-5]</t>
  </si>
  <si>
    <t>dachc</t>
  </si>
  <si>
    <t>ENSDARG00000003142</t>
  </si>
  <si>
    <t>http://zfin.org/ZDB-GENE-030131-1835</t>
  </si>
  <si>
    <t>SWI/SNF related, matrix associated, actin dependent regulator of chromatin, subfamily d, member 1 [Source:ZFIN;Acc:ZDB-GENE-030131-1835]</t>
  </si>
  <si>
    <t>smarcd1</t>
  </si>
  <si>
    <t>ENSDARG00000019004</t>
  </si>
  <si>
    <t>http://zfin.org/ZDB-GENE-080215-2</t>
  </si>
  <si>
    <t>kinesin family member 19 [Source:ZFIN;Acc:ZDB-GENE-080215-2]</t>
  </si>
  <si>
    <t>kif19</t>
  </si>
  <si>
    <t>ENSDARG00000053026</t>
  </si>
  <si>
    <t>http://zfin.org/ZDB-GENE-050522-181</t>
  </si>
  <si>
    <t>polymerase (RNA) II (DNA directed) polypeptide L [Source:ZFIN;Acc:ZDB-GENE-050522-181]</t>
  </si>
  <si>
    <t>polr2l</t>
  </si>
  <si>
    <t>ENSDARG00000058349</t>
  </si>
  <si>
    <t>http://zfin.org/ZDB-GENE-040426-1767</t>
  </si>
  <si>
    <t>ELOVL fatty acid elongase 4a [Source:ZFIN;Acc:ZDB-GENE-040426-1767]</t>
  </si>
  <si>
    <t>elovl4a</t>
  </si>
  <si>
    <t>ENSDARG00000006773</t>
  </si>
  <si>
    <t>http://zfin.org/ZDB-GENE-040426-1075</t>
  </si>
  <si>
    <t>microfibrillar-associated protein 1 [Source:ZFIN;Acc:ZDB-GENE-040426-1075]</t>
  </si>
  <si>
    <t>mfap1</t>
  </si>
  <si>
    <t>ENSDARG00000018241</t>
  </si>
  <si>
    <t>http://zfin.org/ZDB-GENE-030131-8760</t>
  </si>
  <si>
    <t>http://zfin.org/ZDB-GENE-040718-47</t>
  </si>
  <si>
    <t>thimet oligopeptidase 1 [Source:ZFIN;Acc:ZDB-GENE-040718-47]</t>
  </si>
  <si>
    <t>thop1</t>
  </si>
  <si>
    <t>ENSDARG00000013776</t>
  </si>
  <si>
    <t>http://zfin.org/ZDB-GENE-050227-4</t>
  </si>
  <si>
    <t>regulatory factor X, 2 (influences HLA class II expression) [Source:ZFIN;Acc:ZDB-GENE-050227-4]</t>
  </si>
  <si>
    <t>rfx2</t>
  </si>
  <si>
    <t>ENSDARG00000013575</t>
  </si>
  <si>
    <t>http://zfin.org/ZDB-GENE-040625-181</t>
  </si>
  <si>
    <t>zgc:86598 [Source:ZFIN;Acc:ZDB-GENE-040625-181]</t>
  </si>
  <si>
    <t>zgc:86598</t>
  </si>
  <si>
    <t>ENSDARG00000014222</t>
  </si>
  <si>
    <t>http://zfin.org/ZDB-GENE-040625-10</t>
  </si>
  <si>
    <t>CWC15 spliceosome-associated protein homolog (S. cerevisiae) [Source:ZFIN;Acc:ZDB-GENE-040625-10]</t>
  </si>
  <si>
    <t>cwc15</t>
  </si>
  <si>
    <t>ENSDARG00000013382</t>
  </si>
  <si>
    <t>http://zfin.org/ZDB-GENE-040426-989</t>
  </si>
  <si>
    <t>dynein, light chain, roadblock-type 1 [Source:ZFIN;Acc:ZDB-GENE-040426-989]</t>
  </si>
  <si>
    <t>dynlrb1</t>
  </si>
  <si>
    <t>ENSDARG00000021582</t>
  </si>
  <si>
    <t>http://zfin.org/ZDB-GENE-040426-1119</t>
  </si>
  <si>
    <t>adaptor-related protein complex 1, sigma 1 subunit [Source:ZFIN;Acc:ZDB-GENE-040426-1119]</t>
  </si>
  <si>
    <t>ap1s1</t>
  </si>
  <si>
    <t>ENSDARG00000056803</t>
  </si>
  <si>
    <t>http://zfin.org/ZDB-GENE-060519-27</t>
  </si>
  <si>
    <t>prefoldin subunit 2 [Source:ZFIN;Acc:ZDB-GENE-060519-27]</t>
  </si>
  <si>
    <t>pfdn2</t>
  </si>
  <si>
    <t>ENSDARG00000025391</t>
  </si>
  <si>
    <t>http://zfin.org/ZDB-GENE-030131-6422</t>
  </si>
  <si>
    <t>heterogeneous nuclear ribonucleoprotein Ub [Source:ZFIN;Acc:ZDB-GENE-030131-6422]</t>
  </si>
  <si>
    <t>hnrnpub</t>
  </si>
  <si>
    <t>ENSDARG00000004735</t>
  </si>
  <si>
    <t>http://zfin.org/ZDB-GENE-030131-8623</t>
  </si>
  <si>
    <t>cold shock domain containing E1, RNA-binding [Source:ZFIN;Acc:ZDB-GENE-030131-8623]</t>
  </si>
  <si>
    <t>csde1</t>
  </si>
  <si>
    <t>ENSDARG00000074758</t>
  </si>
  <si>
    <t>http://zfin.org/ZDB-GENE-041114-160</t>
  </si>
  <si>
    <t>NSFL1 (p97) cofactor (p47) [Source:ZFIN;Acc:ZDB-GENE-041114-160]</t>
  </si>
  <si>
    <t>nsfl1c</t>
  </si>
  <si>
    <t>ENSDARG00000087640</t>
  </si>
  <si>
    <t>http://zfin.org/ZDB-GENE-130530-667</t>
  </si>
  <si>
    <t>coiled-coil domain containing 30 [Source:ZFIN;Acc:ZDB-GENE-130530-667]</t>
  </si>
  <si>
    <t>ccdc30</t>
  </si>
  <si>
    <t>ENSDARG00000056961</t>
  </si>
  <si>
    <t>http://zfin.org/ZDB-GENE-060503-941</t>
  </si>
  <si>
    <t>http://zfin.org/ZDB-GENE-030131-2784</t>
  </si>
  <si>
    <t>hematological and neurological expressed 1b [Source:ZFIN;Acc:ZDB-GENE-030131-2784]</t>
  </si>
  <si>
    <t>hn1b</t>
  </si>
  <si>
    <t>ENSDARG00000099312</t>
  </si>
  <si>
    <t>http://zfin.org/ZDB-GENE-030131-1365</t>
  </si>
  <si>
    <t>translocase of outer mitochondrial membrane 40 homolog (yeast) [Source:ZFIN;Acc:ZDB-GENE-030131-1365]</t>
  </si>
  <si>
    <t>tomm40</t>
  </si>
  <si>
    <t>ENSDARG00000092112</t>
  </si>
  <si>
    <t>http://zfin.org/ZDB-GENE-030710-8</t>
  </si>
  <si>
    <t>glycoprotein M6Ab [Source:ZFIN;Acc:ZDB-GENE-030710-8]</t>
  </si>
  <si>
    <t>gpm6ab</t>
  </si>
  <si>
    <t>ENSDARG00000004621</t>
  </si>
  <si>
    <t>http://zfin.org/ZDB-GENE-040426-876</t>
  </si>
  <si>
    <t>chaperonin containing TCP1, subunit 8 (theta) [Source:ZFIN;Acc:ZDB-GENE-040426-876]</t>
  </si>
  <si>
    <t>cct8</t>
  </si>
  <si>
    <t>ENSDARG00000008243</t>
  </si>
  <si>
    <t>http://zfin.org/ZDB-GENE-041111-281</t>
  </si>
  <si>
    <t>http://zfin.org/ZDB-GENE-070820-18</t>
  </si>
  <si>
    <t>polymerase (RNA) II (DNA directed) polypeptide K [Source:ZFIN;Acc:ZDB-GENE-070820-18]</t>
  </si>
  <si>
    <t>polr2k</t>
  </si>
  <si>
    <t>ENSDARG00000075616</t>
  </si>
  <si>
    <t>http://zfin.org/ZDB-GENE-030327-1</t>
  </si>
  <si>
    <t>selenoprotein 15 [Source:ZFIN;Acc:ZDB-GENE-030327-1]</t>
  </si>
  <si>
    <t>ENSDARG00000099664</t>
  </si>
  <si>
    <t>http://zfin.org/ZDB-GENE-991110-19</t>
  </si>
  <si>
    <t>proteasome activator subunit 3 [Source:ZFIN;Acc:ZDB-GENE-991110-19]</t>
  </si>
  <si>
    <t>psme3</t>
  </si>
  <si>
    <t>ENSDARG00000012234</t>
  </si>
  <si>
    <t>http://zfin.org/ZDB-GENE-041024-8</t>
  </si>
  <si>
    <t>C1D nuclear receptor corepressor [Source:ZFIN;Acc:ZDB-GENE-041024-8]</t>
  </si>
  <si>
    <t>c1d</t>
  </si>
  <si>
    <t>ENSDARG00000021112</t>
  </si>
  <si>
    <t>http://zfin.org/ZDB-GENE-030131-8832</t>
  </si>
  <si>
    <t>http://zfin.org/ZDB-GENE-141212-9</t>
  </si>
  <si>
    <t>single-pass membrane protein with aspartate-rich tail 1b [Source:ZFIN;Acc:ZDB-GENE-141212-9]</t>
  </si>
  <si>
    <t>smdt1b</t>
  </si>
  <si>
    <t>ENSDARG00000098852</t>
  </si>
  <si>
    <t>http://zfin.org/ZDB-GENE-030424-1</t>
  </si>
  <si>
    <t>lysine (K)-specific demethylase 5Bb [Source:ZFIN;Acc:ZDB-GENE-030424-1]</t>
  </si>
  <si>
    <t>kdm5bb</t>
  </si>
  <si>
    <t>ENSDARG00000003098</t>
  </si>
  <si>
    <t>http://zfin.org/ZDB-GENE-091204-186</t>
  </si>
  <si>
    <t>SH3-domain kinase binding protein 1 [Source:ZFIN;Acc:ZDB-GENE-091204-186]</t>
  </si>
  <si>
    <t>sh3kbp1</t>
  </si>
  <si>
    <t>ENSDARG00000075853</t>
  </si>
  <si>
    <t>http://zfin.org/ZDB-GENE-031219-6</t>
  </si>
  <si>
    <t>http://zfin.org/ZDB-GENE-030131-9685</t>
  </si>
  <si>
    <t>DEAD (Asp-Glu-Ala-Asp) box polypeptide 18 [Source:ZFIN;Acc:ZDB-GENE-030131-9685]</t>
  </si>
  <si>
    <t>ddx18</t>
  </si>
  <si>
    <t>ENSDARG00000030789</t>
  </si>
  <si>
    <t>CT027638.1</t>
  </si>
  <si>
    <t>http://zfin.org/ZDB-GENE-030131-8599</t>
  </si>
  <si>
    <t>http://zfin.org/ZDB-GENE-050208-501</t>
  </si>
  <si>
    <t>nuclear factor I/A [Source:ZFIN;Acc:ZDB-GENE-050208-501]</t>
  </si>
  <si>
    <t>nfia</t>
  </si>
  <si>
    <t>ENSDARG00000062420</t>
  </si>
  <si>
    <t>http://zfin.org/ZDB-GENE-040426-2191</t>
  </si>
  <si>
    <t>tyrosine 3-monooxygenase/tryptophan 5-monooxygenase activation protein, eta polypeptide [Source:ZFIN;Acc:ZDB-GENE-040426-2191]</t>
  </si>
  <si>
    <t>ywhah</t>
  </si>
  <si>
    <t>ENSDARG00000005560</t>
  </si>
  <si>
    <t>RNA binding protein with serine rich domain 1 [Source:HGNC Symbol;Acc:HGNC:10080]</t>
  </si>
  <si>
    <t>RNPS1 (1 of many)</t>
  </si>
  <si>
    <t>ENSDARG00000100188</t>
  </si>
  <si>
    <t>http://zfin.org/ZDB-GENE-050522-47</t>
  </si>
  <si>
    <t>inhibitor of growth family, member 4 [Source:ZFIN;Acc:ZDB-GENE-050522-47]</t>
  </si>
  <si>
    <t>ing4</t>
  </si>
  <si>
    <t>ENSDARG00000030716</t>
  </si>
  <si>
    <t>http://zfin.org/ZDB-GENE-081031-7</t>
  </si>
  <si>
    <t>http://zfin.org/ZDB-GENE-030131-5299</t>
  </si>
  <si>
    <t>mitochondrial ribosomal protein L20 [Source:ZFIN;Acc:ZDB-GENE-030131-5299]</t>
  </si>
  <si>
    <t>mrpl20</t>
  </si>
  <si>
    <t>ENSDARG00000090462</t>
  </si>
  <si>
    <t>http://zfin.org/ZDB-GENE-060503-288</t>
  </si>
  <si>
    <t>http://zfin.org/ZDB-GENE-090313-222</t>
  </si>
  <si>
    <t>Rho guanine nucleotide exchange factor (GEF) 10-like b [Source:ZFIN;Acc:ZDB-GENE-090313-222]</t>
  </si>
  <si>
    <t>arhgef10lb</t>
  </si>
  <si>
    <t>ENSDARG00000074244</t>
  </si>
  <si>
    <t>http://zfin.org/ZDB-GENE-050809-111</t>
  </si>
  <si>
    <t>Pim-3 proto-oncogene, serine/threonine kinase [Source:ZFIN;Acc:ZDB-GENE-050809-111]</t>
  </si>
  <si>
    <t>pim3</t>
  </si>
  <si>
    <t>ENSDARG00000055129</t>
  </si>
  <si>
    <t>http://zfin.org/ZDB-GENE-030131-2081</t>
  </si>
  <si>
    <t>translocase of outer mitochondrial membrane 34 [Source:ZFIN;Acc:ZDB-GENE-030131-2081]</t>
  </si>
  <si>
    <t>tomm34</t>
  </si>
  <si>
    <t>ENSDARG00000001557</t>
  </si>
  <si>
    <t>http://zfin.org/ZDB-GENE-040426-1961</t>
  </si>
  <si>
    <t>dynein, light chain, LC8-type 1 [Source:ZFIN;Acc:ZDB-GENE-040426-1961]</t>
  </si>
  <si>
    <t>dynll1</t>
  </si>
  <si>
    <t>ENSDARG00000058454</t>
  </si>
  <si>
    <t>http://zfin.org/ZDB-GENE-040426-1944</t>
  </si>
  <si>
    <t>cornichon family AMPA receptor auxiliary protein 1 [Source:ZFIN;Acc:ZDB-GENE-040426-1944]</t>
  </si>
  <si>
    <t>cnih1</t>
  </si>
  <si>
    <t>ENSDARG00000020311</t>
  </si>
  <si>
    <t>http://zfin.org/ZDB-GENE-040426-848</t>
  </si>
  <si>
    <t>serpin peptidase inhibitor, clade E (nexin, plasminogen activator inhibitor type 1), member 2 [Source:ZFIN;Acc:ZDB-GENE-040426-848]</t>
  </si>
  <si>
    <t>serpine2</t>
  </si>
  <si>
    <t>ENSDARG00000029353</t>
  </si>
  <si>
    <t>http://zfin.org/ZDB-GENE-060130-108</t>
  </si>
  <si>
    <t>castor zinc finger 1 [Source:ZFIN;Acc:ZDB-GENE-060130-108]</t>
  </si>
  <si>
    <t>casz1</t>
  </si>
  <si>
    <t>ENSDARG00000037030</t>
  </si>
  <si>
    <t>http://zfin.org/ZDB-GENE-040718-426</t>
  </si>
  <si>
    <t>small ubiquitin-like modifier 3b [Source:ZFIN;Acc:ZDB-GENE-040718-426]</t>
  </si>
  <si>
    <t>sumo3b</t>
  </si>
  <si>
    <t>ENSDARG00000035993</t>
  </si>
  <si>
    <t>http://zfin.org/ZDB-GENE-061013-418</t>
  </si>
  <si>
    <t>zgc:153115 [Source:ZFIN;Acc:ZDB-GENE-061013-418]</t>
  </si>
  <si>
    <t>zgc:153115</t>
  </si>
  <si>
    <t>ENSDARG00000069342</t>
  </si>
  <si>
    <t>http://zfin.org/ZDB-GENE-040426-1881</t>
  </si>
  <si>
    <t>U2 small nuclear RNA auxiliary factor 2b [Source:ZFIN;Acc:ZDB-GENE-040426-1881]</t>
  </si>
  <si>
    <t>u2af2b</t>
  </si>
  <si>
    <t>ENSDARG00000011740</t>
  </si>
  <si>
    <t>http://zfin.org/ZDB-GENE-040625-69</t>
  </si>
  <si>
    <t>proteasome 26S subunit, ATPase 1b [Source:ZFIN;Acc:ZDB-GENE-040625-69]</t>
  </si>
  <si>
    <t>psmc1b</t>
  </si>
  <si>
    <t>ENSDARG00000043561</t>
  </si>
  <si>
    <t>http://zfin.org/ZDB-GENE-040718-329</t>
  </si>
  <si>
    <t>proteasome subunit alpha 6b [Source:ZFIN;Acc:ZDB-GENE-040718-329]</t>
  </si>
  <si>
    <t>psma6b</t>
  </si>
  <si>
    <t>ENSDARG00000013966</t>
  </si>
  <si>
    <t>http://zfin.org/ZDB-GENE-070912-75</t>
  </si>
  <si>
    <t>si:ch211-141e20.2 [Source:ZFIN;Acc:ZDB-GENE-070912-75]</t>
  </si>
  <si>
    <t>si:ch211-141e20.2</t>
  </si>
  <si>
    <t>ENSDARG00000093349</t>
  </si>
  <si>
    <t>http://zfin.org/ZDB-GENE-030131-967</t>
  </si>
  <si>
    <t>SWI/SNF related, matrix associated, actin dependent regulator of chromatin, subfamily e, member 1 [Source:ZFIN;Acc:ZDB-GENE-030131-967]</t>
  </si>
  <si>
    <t>smarce1</t>
  </si>
  <si>
    <t>ENSDARG00000016871</t>
  </si>
  <si>
    <t>http://zfin.org/ZDB-GENE-010816-1</t>
  </si>
  <si>
    <t>ornithine decarboxylase 1 [Source:ZFIN;Acc:ZDB-GENE-010816-1]</t>
  </si>
  <si>
    <t>odc1</t>
  </si>
  <si>
    <t>ENSDARG00000007377</t>
  </si>
  <si>
    <t>http://zfin.org/ZDB-GENE-080229-4</t>
  </si>
  <si>
    <t>si:zfos-1011f11.1 [Source:ZFIN;Acc:ZDB-GENE-080229-4]</t>
  </si>
  <si>
    <t>si:zfos-1011f11.1</t>
  </si>
  <si>
    <t>ENSDARG00000100223</t>
  </si>
  <si>
    <t>http://zfin.org/ZDB-GENE-010328-2</t>
  </si>
  <si>
    <t>http://zfin.org/ZDB-GENE-030131-845</t>
  </si>
  <si>
    <t>voltage-dependent anion channel 2 [Source:ZFIN;Acc:ZDB-GENE-030131-845]</t>
  </si>
  <si>
    <t>vdac2</t>
  </si>
  <si>
    <t>ENSDARG00000013623</t>
  </si>
  <si>
    <t>http://zfin.org/ZDB-GENE-040426-1950</t>
  </si>
  <si>
    <t>serine/arginine-rich splicing factor 1a [Source:ZFIN;Acc:ZDB-GENE-040426-1950]</t>
  </si>
  <si>
    <t>srsf1a</t>
  </si>
  <si>
    <t>ENSDARG00000057691</t>
  </si>
  <si>
    <t>http://zfin.org/ZDB-GENE-030131-6986</t>
  </si>
  <si>
    <t>nucleolin [Source:ZFIN;Acc:ZDB-GENE-030131-6986]</t>
  </si>
  <si>
    <t>ncl</t>
  </si>
  <si>
    <t>ENSDARG00000002710</t>
  </si>
  <si>
    <t>http://zfin.org/ZDB-GENE-050916-2</t>
  </si>
  <si>
    <t>v-kit Hardy-Zuckerman 4 feline sarcoma viral oncogene homolog b [Source:ZFIN;Acc:ZDB-GENE-050916-2]</t>
  </si>
  <si>
    <t>kitb</t>
  </si>
  <si>
    <t>ENSDARG00000056133</t>
  </si>
  <si>
    <t>http://zfin.org/ZDB-GENE-030131-9569</t>
  </si>
  <si>
    <t>http://zfin.org/ZDB-GENE-020419-22</t>
  </si>
  <si>
    <t>splicing factor 3b, subunit 4 [Source:ZFIN;Acc:ZDB-GENE-020419-22]</t>
  </si>
  <si>
    <t>sf3b4</t>
  </si>
  <si>
    <t>ENSDARG00000018574</t>
  </si>
  <si>
    <t>http://zfin.org/ZDB-GENE-050417-398</t>
  </si>
  <si>
    <t>eukaryotic translation initiation factor 4E family member 1c [Source:ZFIN;Acc:ZDB-GENE-050417-398]</t>
  </si>
  <si>
    <t>eif4e1c</t>
  </si>
  <si>
    <t>ENSDARG00000012274</t>
  </si>
  <si>
    <t>http://zfin.org/ZDB-GENE-030131-8671</t>
  </si>
  <si>
    <t>http://zfin.org/ZDB-GENE-060503-229</t>
  </si>
  <si>
    <t>family with sequence similarity 133, member B [Source:ZFIN;Acc:ZDB-GENE-060503-229]</t>
  </si>
  <si>
    <t>fam133b</t>
  </si>
  <si>
    <t>ENSDARG00000013863</t>
  </si>
  <si>
    <t>http://zfin.org/ZDB-GENE-000629-3</t>
  </si>
  <si>
    <t>Y box binding protein 1 [Source:ZFIN;Acc:ZDB-GENE-000629-3]</t>
  </si>
  <si>
    <t>ybx1</t>
  </si>
  <si>
    <t>ENSDARG00000004757</t>
  </si>
  <si>
    <t>http://zfin.org/ZDB-GENE-030131-666</t>
  </si>
  <si>
    <t>proteasome 26S subunit, ATPase 3 [Source:ZFIN;Acc:ZDB-GENE-030131-666]</t>
  </si>
  <si>
    <t>psmc3</t>
  </si>
  <si>
    <t>ENSDARG00000007141</t>
  </si>
  <si>
    <t>http://zfin.org/ZDB-GENE-030131-6611</t>
  </si>
  <si>
    <t>DEAD (Asp-Glu-Ala-Asp) box helicase 61 [Source:ZFIN;Acc:ZDB-GENE-030131-6611]</t>
  </si>
  <si>
    <t>ddx61</t>
  </si>
  <si>
    <t>ENSDARG00000018425</t>
  </si>
  <si>
    <t>http://zfin.org/ZDB-GENE-040426-2448</t>
  </si>
  <si>
    <t>acidic (leucine-rich) nuclear phosphoprotein 32 family, member E [Source:ZFIN;Acc:ZDB-GENE-040426-2448]</t>
  </si>
  <si>
    <t>anp32e</t>
  </si>
  <si>
    <t>ENSDARG00000054804</t>
  </si>
  <si>
    <t>http://zfin.org/ZDB-GENE-040426-2133</t>
  </si>
  <si>
    <t>small ubiquitin-like modifier 3a [Source:ZFIN;Acc:ZDB-GENE-040426-2133]</t>
  </si>
  <si>
    <t>sumo3a</t>
  </si>
  <si>
    <t>ENSDARG00000028119</t>
  </si>
  <si>
    <t>http://zfin.org/ZDB-GENE-031018-3</t>
  </si>
  <si>
    <t>http://zfin.org/ZDB-GENE-070912-181</t>
  </si>
  <si>
    <t>http://zfin.org/ZDB-GENE-030131-9164</t>
  </si>
  <si>
    <t>ER membrane protein complex subunit 6 [Source:ZFIN;Acc:ZDB-GENE-030131-9164]</t>
  </si>
  <si>
    <t>emc6</t>
  </si>
  <si>
    <t>ENSDARG00000035282</t>
  </si>
  <si>
    <t>http://zfin.org/ZDB-GENE-040426-978</t>
  </si>
  <si>
    <t>http://zfin.org/ZDB-GENE-030721-4</t>
  </si>
  <si>
    <t>protocadherin 10b [Source:ZFIN;Acc:ZDB-GENE-030721-4]</t>
  </si>
  <si>
    <t>pcdh10b</t>
  </si>
  <si>
    <t>ENSDARG00000102824</t>
  </si>
  <si>
    <t>http://zfin.org/ZDB-GENE-030131-9511</t>
  </si>
  <si>
    <t>ddb1 and cul4 associated factor 7 [Source:ZFIN;Acc:ZDB-GENE-030131-9511]</t>
  </si>
  <si>
    <t>dcaf7</t>
  </si>
  <si>
    <t>ENSDARG00000054355</t>
  </si>
  <si>
    <t>http://zfin.org/ZDB-GENE-990614-17</t>
  </si>
  <si>
    <t>http://zfin.org/ZDB-GENE-101207-1</t>
  </si>
  <si>
    <t>forkhead box P4 [Source:ZFIN;Acc:ZDB-GENE-101207-1]</t>
  </si>
  <si>
    <t>foxp4</t>
  </si>
  <si>
    <t>ENSDARG00000076120</t>
  </si>
  <si>
    <t>http://zfin.org/ZDB-GENE-030131-7949</t>
  </si>
  <si>
    <t>http://zfin.org/ZDB-GENE-030131-1414</t>
  </si>
  <si>
    <t>http://zfin.org/ZDB-GENE-040426-875</t>
  </si>
  <si>
    <t>zinc finger, AN1-type domain 5b [Source:ZFIN;Acc:ZDB-GENE-040426-875]</t>
  </si>
  <si>
    <t>zfand5b</t>
  </si>
  <si>
    <t>ENSDARG00000002271</t>
  </si>
  <si>
    <t>http://zfin.org/ZDB-GENE-990415-215</t>
  </si>
  <si>
    <t>proteasome subunit beta 5 [Source:ZFIN;Acc:ZDB-GENE-990415-215]</t>
  </si>
  <si>
    <t>psmb5</t>
  </si>
  <si>
    <t>ENSDARG00000075445</t>
  </si>
  <si>
    <t>http://zfin.org/ZDB-GENE-060810-187</t>
  </si>
  <si>
    <t>cytochrome C oxidase assembly factor 3a [Source:ZFIN;Acc:ZDB-GENE-060810-187]</t>
  </si>
  <si>
    <t>coa3a</t>
  </si>
  <si>
    <t>ENSDARG00000100585</t>
  </si>
  <si>
    <t>http://zfin.org/ZDB-GENE-050320-50</t>
  </si>
  <si>
    <t>nucleophosmin/nucleoplasmin, 3 [Source:ZFIN;Acc:ZDB-GENE-050320-50]</t>
  </si>
  <si>
    <t>npm3</t>
  </si>
  <si>
    <t>ENSDARG00000103594</t>
  </si>
  <si>
    <t>http://zfin.org/ZDB-GENE-070206-10</t>
  </si>
  <si>
    <t>http://zfin.org/ZDB-GENE-030605-1</t>
  </si>
  <si>
    <t>SWI/SNF related, matrix associated, actin dependent regulator of chromatin, subfamily a, member 4a [Source:ZFIN;Acc:ZDB-GENE-030605-1]</t>
  </si>
  <si>
    <t>smarca4a</t>
  </si>
  <si>
    <t>ENSDARG00000077226</t>
  </si>
  <si>
    <t>http://zfin.org/ZDB-GENE-030131-5408</t>
  </si>
  <si>
    <t>http://zfin.org/ZDB-GENE-041121-17</t>
  </si>
  <si>
    <t>stress-induced phosphoprotein 1 [Source:ZFIN;Acc:ZDB-GENE-041121-17]</t>
  </si>
  <si>
    <t>stip1</t>
  </si>
  <si>
    <t>ENSDARG00000004906</t>
  </si>
  <si>
    <t>http://zfin.org/ZDB-GENE-030131-1693</t>
  </si>
  <si>
    <t>pdgfa associated protein 1a [Source:ZFIN;Acc:ZDB-GENE-030131-1693]</t>
  </si>
  <si>
    <t>pdap1a</t>
  </si>
  <si>
    <t>ENSDARG00000092546</t>
  </si>
  <si>
    <t>http://zfin.org/ZDB-GENE-030131-2182</t>
  </si>
  <si>
    <t>proliferation-associated 2G4, b [Source:ZFIN;Acc:ZDB-GENE-030131-2182]</t>
  </si>
  <si>
    <t>pa2g4b</t>
  </si>
  <si>
    <t>ENSDARG00000070657</t>
  </si>
  <si>
    <t>http://zfin.org/ZDB-GENE-050517-31</t>
  </si>
  <si>
    <t>http://zfin.org/ZDB-GENE-050419-73</t>
  </si>
  <si>
    <t>http://zfin.org/ZDB-GENE-040426-1955</t>
  </si>
  <si>
    <t>http://zfin.org/ZDB-GENE-080804-1</t>
  </si>
  <si>
    <t>http://zfin.org/ZDB-GENE-040912-93</t>
  </si>
  <si>
    <t>mitochondrial ribosomal protein L53 [Source:ZFIN;Acc:ZDB-GENE-040912-93]</t>
  </si>
  <si>
    <t>mrpl53</t>
  </si>
  <si>
    <t>ENSDARG00000008920</t>
  </si>
  <si>
    <t>http://zfin.org/ZDB-GENE-030131-8554</t>
  </si>
  <si>
    <t>http://zfin.org/ZDB-GENE-030131-7135</t>
  </si>
  <si>
    <t>tyrosine 3-monooxygenase/tryptophan 5-monooxygenase activation protein, theta polypeptide b [Source:ZFIN;Acc:ZDB-GENE-030131-7135]</t>
  </si>
  <si>
    <t>ywhaqb</t>
  </si>
  <si>
    <t>ENSDARG00000023323</t>
  </si>
  <si>
    <t>http://zfin.org/ZDB-GENE-030521-13</t>
  </si>
  <si>
    <t>http://zfin.org/ZDB-GENE-141222-6</t>
  </si>
  <si>
    <t>http://zfin.org/ZDB-GENE-030128-3</t>
  </si>
  <si>
    <t>SMAD family member 7 [Source:ZFIN;Acc:ZDB-GENE-030128-3]</t>
  </si>
  <si>
    <t>smad7</t>
  </si>
  <si>
    <t>ENSDARG00000016858</t>
  </si>
  <si>
    <t>http://zfin.org/ZDB-GENE-030131-6858</t>
  </si>
  <si>
    <t>http://zfin.org/ZDB-GENE-050327-93</t>
  </si>
  <si>
    <t>EYA transcriptional coactivator and phosphatase 4 [Source:ZFIN;Acc:ZDB-GENE-050327-93]</t>
  </si>
  <si>
    <t>eya4</t>
  </si>
  <si>
    <t>ENSDARG00000012397</t>
  </si>
  <si>
    <t>http://zfin.org/ZDB-GENE-030724-6</t>
  </si>
  <si>
    <t>prickle homolog 2b [Source:ZFIN;Acc:ZDB-GENE-030724-6]</t>
  </si>
  <si>
    <t>prickle2b</t>
  </si>
  <si>
    <t>ENSDARG00000037593</t>
  </si>
  <si>
    <t>http://zfin.org/ZDB-GENE-030131-4900</t>
  </si>
  <si>
    <t>http://zfin.org/ZDB-GENE-030131-2841</t>
  </si>
  <si>
    <t>small nuclear ribonucleoprotein polypeptide A [Source:ZFIN;Acc:ZDB-GENE-030131-2841]</t>
  </si>
  <si>
    <t>snrpa</t>
  </si>
  <si>
    <t>ENSDARG00000018890</t>
  </si>
  <si>
    <t>http://zfin.org/ZDB-GENE-070330-1</t>
  </si>
  <si>
    <t>dorsal root ganglia homeobox [Source:ZFIN;Acc:ZDB-GENE-070330-1]</t>
  </si>
  <si>
    <t>drgx</t>
  </si>
  <si>
    <t>ENSDARG00000069329</t>
  </si>
  <si>
    <t>http://zfin.org/ZDB-GENE-040426-1109</t>
  </si>
  <si>
    <t>zgc:56676 [Source:ZFIN;Acc:ZDB-GENE-040426-1109]</t>
  </si>
  <si>
    <t>EIF1B</t>
  </si>
  <si>
    <t>ENSDARG00000029445</t>
  </si>
  <si>
    <t>http://zfin.org/ZDB-GENE-030131-7452</t>
  </si>
  <si>
    <t>ENSDARG00000068434</t>
  </si>
  <si>
    <t>http://zfin.org/ZDB-GENE-040426-2206</t>
  </si>
  <si>
    <t>http://zfin.org/ZDB-GENE-080515-6</t>
  </si>
  <si>
    <t>huntingtin interacting protein K [Source:ZFIN;Acc:ZDB-GENE-080515-6]</t>
  </si>
  <si>
    <t>hypk</t>
  </si>
  <si>
    <t>ENSDARG00000059725</t>
  </si>
  <si>
    <t>http://zfin.org/ZDB-GENE-060312-32</t>
  </si>
  <si>
    <t>melanocyte proliferating gene 1 [Source:ZFIN;Acc:ZDB-GENE-060312-32]</t>
  </si>
  <si>
    <t>myg1</t>
  </si>
  <si>
    <t>ENSDARG00000069977</t>
  </si>
  <si>
    <t>http://zfin.org/ZDB-GENE-040426-2881</t>
  </si>
  <si>
    <t>basic leucine zipper and W2 domains 1b [Source:ZFIN;Acc:ZDB-GENE-040426-2881]</t>
  </si>
  <si>
    <t>bzw1b</t>
  </si>
  <si>
    <t>ENSDARG00000099148</t>
  </si>
  <si>
    <t>http://zfin.org/ZDB-GENE-990415-88</t>
  </si>
  <si>
    <t>RAN, member RAS oncogene family [Source:ZFIN;Acc:ZDB-GENE-990415-88]</t>
  </si>
  <si>
    <t>ran</t>
  </si>
  <si>
    <t>ENSDARG00000057026</t>
  </si>
  <si>
    <t>http://zfin.org/ZDB-GENE-040808-48</t>
  </si>
  <si>
    <t>zgc:91910 [Source:ZFIN;Acc:ZDB-GENE-040808-48]</t>
  </si>
  <si>
    <t>zgc:91910</t>
  </si>
  <si>
    <t>ENSDARG00000035678</t>
  </si>
  <si>
    <t>http://zfin.org/ZDB-GENE-030131-8567</t>
  </si>
  <si>
    <t>http://zfin.org/ZDB-GENE-120201-2</t>
  </si>
  <si>
    <t>polymerase (DNA-directed), delta interacting protein 3 [Source:ZFIN;Acc:ZDB-GENE-120201-2]</t>
  </si>
  <si>
    <t>poldip3</t>
  </si>
  <si>
    <t>ENSDARG00000099375</t>
  </si>
  <si>
    <t>http://zfin.org/ZDB-GENE-060825-166</t>
  </si>
  <si>
    <t>deleted in primary ciliary dyskinesia homolog (mouse) [Source:ZFIN;Acc:ZDB-GENE-060825-166]</t>
  </si>
  <si>
    <t>dpcd</t>
  </si>
  <si>
    <t>ENSDARG00000060501</t>
  </si>
  <si>
    <t>http://zfin.org/ZDB-GENE-020419-36</t>
  </si>
  <si>
    <t>http://zfin.org/ZDB-GENE-081104-272</t>
  </si>
  <si>
    <t>http://zfin.org/ZDB-GENE-030131-9796</t>
  </si>
  <si>
    <t>http://zfin.org/ZDB-GENE-040426-957</t>
  </si>
  <si>
    <t>malignant T cell amplified sequence 1 [Source:ZFIN;Acc:ZDB-GENE-040426-957]</t>
  </si>
  <si>
    <t>mcts1</t>
  </si>
  <si>
    <t>ENSDARG00000025972</t>
  </si>
  <si>
    <t>CR847844.2</t>
  </si>
  <si>
    <t>ENSDARG00000087245</t>
  </si>
  <si>
    <t>http://zfin.org/ZDB-GENE-030131-3724</t>
  </si>
  <si>
    <t>kinesin family member C3 [Source:ZFIN;Acc:ZDB-GENE-030131-3724]</t>
  </si>
  <si>
    <t>kifc3</t>
  </si>
  <si>
    <t>ENSDARG00000054978</t>
  </si>
  <si>
    <t>http://zfin.org/ZDB-GENE-030131-9670</t>
  </si>
  <si>
    <t>http://zfin.org/ZDB-GENE-050720-2</t>
  </si>
  <si>
    <t>dihydropyrimidinase-like 3 [Source:ZFIN;Acc:ZDB-GENE-050720-2]</t>
  </si>
  <si>
    <t>dpysl3</t>
  </si>
  <si>
    <t>ENSDARG00000002587</t>
  </si>
  <si>
    <t>http://zfin.org/ZDB-GENE-050522-477</t>
  </si>
  <si>
    <t>N-myristoyltransferase 1a [Source:ZFIN;Acc:ZDB-GENE-050522-477]</t>
  </si>
  <si>
    <t>nmt1a</t>
  </si>
  <si>
    <t>ENSDARG00000052966</t>
  </si>
  <si>
    <t>http://zfin.org/ZDB-GENE-040426-1016</t>
  </si>
  <si>
    <t>myotubularin related protein 8 [Source:ZFIN;Acc:ZDB-GENE-040426-1016]</t>
  </si>
  <si>
    <t>mtmr8</t>
  </si>
  <si>
    <t>ENSDARG00000008592</t>
  </si>
  <si>
    <t>http://zfin.org/ZDB-GENE-040516-3</t>
  </si>
  <si>
    <t>protein phosphatase 1, catalytic subunit, alpha isozyme a [Source:ZFIN;Acc:ZDB-GENE-040516-3]</t>
  </si>
  <si>
    <t>ppp1caa</t>
  </si>
  <si>
    <t>ENSDARG00000003486</t>
  </si>
  <si>
    <t>http://zfin.org/ZDB-GENE-030131-533</t>
  </si>
  <si>
    <t>http://zfin.org/ZDB-GENE-040426-1758</t>
  </si>
  <si>
    <t>CAP, adenylate cyclase-associated protein, 2 (yeast) [Source:ZFIN;Acc:ZDB-GENE-040426-1758]</t>
  </si>
  <si>
    <t>cap2</t>
  </si>
  <si>
    <t>ENSDARG00000104478</t>
  </si>
  <si>
    <t>heterogeneous nuclear ribonucleoprotein U like 1 [Source:HGNC Symbol;Acc:HGNC:17011]</t>
  </si>
  <si>
    <t>HNRNPUL1 (1 of many)</t>
  </si>
  <si>
    <t>ENSDARG00000079780</t>
  </si>
  <si>
    <t>http://zfin.org/ZDB-GENE-041219-1</t>
  </si>
  <si>
    <t>serine/arginine-rich splicing factor 6b [Source:ZFIN;Acc:ZDB-GENE-041219-1]</t>
  </si>
  <si>
    <t>srsf6b</t>
  </si>
  <si>
    <t>ENSDARG00000016783</t>
  </si>
  <si>
    <t>http://zfin.org/ZDB-GENE-050417-32</t>
  </si>
  <si>
    <t>LMBR1 domain containing 2a [Source:ZFIN;Acc:ZDB-GENE-050417-32]</t>
  </si>
  <si>
    <t>lmbrd2a</t>
  </si>
  <si>
    <t>ENSDARG00000099566</t>
  </si>
  <si>
    <t>http://zfin.org/ZDB-GENE-031204-3</t>
  </si>
  <si>
    <t>junctional adhesion molecule 2a [Source:ZFIN;Acc:ZDB-GENE-031204-3]</t>
  </si>
  <si>
    <t>jam2a</t>
  </si>
  <si>
    <t>ENSDARG00000058996</t>
  </si>
  <si>
    <t>http://zfin.org/ZDB-GENE-060201-2</t>
  </si>
  <si>
    <t>http://zfin.org/ZDB-GENE-131121-445</t>
  </si>
  <si>
    <t>translocase of outer mitochondrial membrane 6 homolog (yeast) [Source:ZFIN;Acc:ZDB-GENE-131121-445]</t>
  </si>
  <si>
    <t>tomm6</t>
  </si>
  <si>
    <t>ENSDARG00000097797</t>
  </si>
  <si>
    <t>http://zfin.org/ZDB-GENE-021029-1</t>
  </si>
  <si>
    <t>http://zfin.org/ZDB-GENE-040718-214</t>
  </si>
  <si>
    <t>SPT4 homolog, DSIF elongation factor subunit [Source:ZFIN;Acc:ZDB-GENE-040718-214]</t>
  </si>
  <si>
    <t>supt4h1</t>
  </si>
  <si>
    <t>ENSDARG00000099366</t>
  </si>
  <si>
    <t>http://zfin.org/ZDB-GENE-040718-267</t>
  </si>
  <si>
    <t>NOP16 nucleolar protein homolog (yeast) [Source:ZFIN;Acc:ZDB-GENE-040718-267]</t>
  </si>
  <si>
    <t>nop16</t>
  </si>
  <si>
    <t>ENSDARG00000044402</t>
  </si>
  <si>
    <t>http://zfin.org/ZDB-GENE-070424-166</t>
  </si>
  <si>
    <t>http://zfin.org/ZDB-GENE-030411-5</t>
  </si>
  <si>
    <t>http://zfin.org/ZDB-GENE-030131-8284</t>
  </si>
  <si>
    <t>LSM7 homolog, U6 small nuclear RNA and mRNA degradation associated [Source:ZFIN;Acc:ZDB-GENE-030131-8284]</t>
  </si>
  <si>
    <t>lsm7</t>
  </si>
  <si>
    <t>ENSDARG00000058328</t>
  </si>
  <si>
    <t>http://zfin.org/ZDB-GENE-030131-577</t>
  </si>
  <si>
    <t>pre-mRNA processing factor 8 [Source:ZFIN;Acc:ZDB-GENE-030131-577]</t>
  </si>
  <si>
    <t>prpf8</t>
  </si>
  <si>
    <t>ENSDARG00000026180</t>
  </si>
  <si>
    <t>http://zfin.org/ZDB-GENE-040808-12</t>
  </si>
  <si>
    <t>MYST/Esa1-associated factor 6 [Source:ZFIN;Acc:ZDB-GENE-040808-12]</t>
  </si>
  <si>
    <t>meaf6</t>
  </si>
  <si>
    <t>ENSDARG00000101216</t>
  </si>
  <si>
    <t>http://zfin.org/ZDB-GENE-031030-12</t>
  </si>
  <si>
    <t>family with sequence similarity 107, member B [Source:ZFIN;Acc:ZDB-GENE-031030-12]</t>
  </si>
  <si>
    <t>fam107b</t>
  </si>
  <si>
    <t>ENSDARG00000026865</t>
  </si>
  <si>
    <t>http://zfin.org/ZDB-GENE-060531-140</t>
  </si>
  <si>
    <t>ectodermal-neural cortex 1 [Source:ZFIN;Acc:ZDB-GENE-060531-140]</t>
  </si>
  <si>
    <t>enc1</t>
  </si>
  <si>
    <t>ENSDARG00000035398</t>
  </si>
  <si>
    <t>http://zfin.org/ZDB-GENE-041007-4</t>
  </si>
  <si>
    <t>http://zfin.org/ZDB-GENE-030616-583</t>
  </si>
  <si>
    <t>apoptotic chromatin condensation inducer 1a [Source:ZFIN;Acc:ZDB-GENE-030616-583]</t>
  </si>
  <si>
    <t>acin1a</t>
  </si>
  <si>
    <t>ENSDARG00000054290</t>
  </si>
  <si>
    <t>http://zfin.org/ZDB-GENE-061013-134</t>
  </si>
  <si>
    <t>zgc:154006 [Source:ZFIN;Acc:ZDB-GENE-061013-134]</t>
  </si>
  <si>
    <t>zgc:154006</t>
  </si>
  <si>
    <t>ENSDARG00000061797</t>
  </si>
  <si>
    <t>http://zfin.org/ZDB-GENE-040426-905</t>
  </si>
  <si>
    <t>adhesion regulating molecule 1 [Source:ZFIN;Acc:ZDB-GENE-040426-905]</t>
  </si>
  <si>
    <t>adrm1</t>
  </si>
  <si>
    <t>ENSDARG00000058560</t>
  </si>
  <si>
    <t>http://zfin.org/ZDB-GENE-060315-3</t>
  </si>
  <si>
    <t>canopy1 [Source:ZFIN;Acc:ZDB-GENE-060315-3]</t>
  </si>
  <si>
    <t>cnpy1</t>
  </si>
  <si>
    <t>ENSDARG00000003757</t>
  </si>
  <si>
    <t>http://zfin.org/ZDB-GENE-030131-8015</t>
  </si>
  <si>
    <t>CREB/ATF bZIP transcription factor [Source:ZFIN;Acc:ZDB-GENE-030131-8015]</t>
  </si>
  <si>
    <t>crebzf</t>
  </si>
  <si>
    <t>ENSDARG00000089787</t>
  </si>
  <si>
    <t>http://zfin.org/ZDB-GENE-030131-8279</t>
  </si>
  <si>
    <t>si:ch211-51e12.7 [Source:ZFIN;Acc:ZDB-GENE-030131-8279]</t>
  </si>
  <si>
    <t>si:ch211-51e12.7</t>
  </si>
  <si>
    <t>ENSDARG00000045914</t>
  </si>
  <si>
    <t>http://zfin.org/ZDB-GENE-161207-2</t>
  </si>
  <si>
    <t>LSM3 homolog, U6 small nuclear RNA and mRNA degradation associated [Source:ZFIN;Acc:ZDB-GENE-161207-2]</t>
  </si>
  <si>
    <t>lsm3</t>
  </si>
  <si>
    <t>ENSDARG00000089663</t>
  </si>
  <si>
    <t>http://zfin.org/ZDB-GENE-030131-5083</t>
  </si>
  <si>
    <t>proteasome 26S subunit, ATPase 4 [Source:ZFIN;Acc:ZDB-GENE-030131-5083]</t>
  </si>
  <si>
    <t>psmc4</t>
  </si>
  <si>
    <t>ENSDARG00000027099</t>
  </si>
  <si>
    <t>CABZ01111915.1</t>
  </si>
  <si>
    <t>ENSDARG00000104583</t>
  </si>
  <si>
    <t>http://zfin.org/ZDB-GENE-010614-1</t>
  </si>
  <si>
    <t>chemokine (C-X-C motif), receptor 4b [Source:ZFIN;Acc:ZDB-GENE-010614-1]</t>
  </si>
  <si>
    <t>cxcr4b</t>
  </si>
  <si>
    <t>ENSDARG00000041959</t>
  </si>
  <si>
    <t>http://zfin.org/ZDB-GENE-030131-605</t>
  </si>
  <si>
    <t>serine/arginine-rich splicing factor 11 [Source:ZFIN;Acc:ZDB-GENE-030131-605]</t>
  </si>
  <si>
    <t>srsf11</t>
  </si>
  <si>
    <t>ENSDARG00000098574</t>
  </si>
  <si>
    <t>http://zfin.org/ZDB-GENE-040718-353</t>
  </si>
  <si>
    <t>proteasome subunit beta 2 [Source:ZFIN;Acc:ZDB-GENE-040718-353]</t>
  </si>
  <si>
    <t>psmb2</t>
  </si>
  <si>
    <t>ENSDARG00000031511</t>
  </si>
  <si>
    <t>http://zfin.org/ZDB-GENE-030131-994</t>
  </si>
  <si>
    <t>RAD21 cohesin complex component a [Source:ZFIN;Acc:ZDB-GENE-030131-994]</t>
  </si>
  <si>
    <t>rad21a</t>
  </si>
  <si>
    <t>ENSDARG00000006092</t>
  </si>
  <si>
    <t>http://zfin.org/ZDB-GENE-081105-65</t>
  </si>
  <si>
    <t>http://zfin.org/ZDB-GENE-000125-4</t>
  </si>
  <si>
    <t>http://zfin.org/ZDB-GENE-030131-6034</t>
  </si>
  <si>
    <t>carnitine deficiency-associated gene expressed in ventricle 3 [Source:ZFIN;Acc:ZDB-GENE-030131-6034]</t>
  </si>
  <si>
    <t>cdv3</t>
  </si>
  <si>
    <t>ENSDARG00000023028</t>
  </si>
  <si>
    <t>http://zfin.org/ZDB-GENE-030131-4357</t>
  </si>
  <si>
    <t>KH-type splicing regulatory protein [Source:ZFIN;Acc:ZDB-GENE-030131-4357]</t>
  </si>
  <si>
    <t>khsrp</t>
  </si>
  <si>
    <t>ENSDARG00000026489</t>
  </si>
  <si>
    <t>http://zfin.org/ZDB-GENE-040625-144</t>
  </si>
  <si>
    <t>prostaglandin E synthase 3b (cytosolic) [Source:ZFIN;Acc:ZDB-GENE-040625-144]</t>
  </si>
  <si>
    <t>ptges3b</t>
  </si>
  <si>
    <t>ENSDARG00000089626</t>
  </si>
  <si>
    <t>http://zfin.org/ZDB-GENE-040426-2303</t>
  </si>
  <si>
    <t>A kinase (PRKA) anchor protein 8-like [Source:ZFIN;Acc:ZDB-GENE-040426-2303]</t>
  </si>
  <si>
    <t>akap8l</t>
  </si>
  <si>
    <t>ENSDARG00000099635</t>
  </si>
  <si>
    <t>http://zfin.org/ZDB-GENE-040426-2334</t>
  </si>
  <si>
    <t>nuclear factor, erythroid 2-like 3 [Source:ZFIN;Acc:ZDB-GENE-040426-2334]</t>
  </si>
  <si>
    <t>nfe2l3</t>
  </si>
  <si>
    <t>ENSDARG00000019810</t>
  </si>
  <si>
    <t>http://zfin.org/ZDB-GENE-030131-445</t>
  </si>
  <si>
    <t>http://zfin.org/ZDB-GENE-030131-988</t>
  </si>
  <si>
    <t>split hand/foot malformation (ectrodactyly) type 1 [Source:ZFIN;Acc:ZDB-GENE-030131-988]</t>
  </si>
  <si>
    <t>shfm1</t>
  </si>
  <si>
    <t>ENSDARG00000027899</t>
  </si>
  <si>
    <t>http://zfin.org/ZDB-GENE-040426-2140</t>
  </si>
  <si>
    <t>NOP58 ribonucleoprotein homolog (yeast) [Source:ZFIN;Acc:ZDB-GENE-040426-2140]</t>
  </si>
  <si>
    <t>nop58</t>
  </si>
  <si>
    <t>ENSDARG00000104353</t>
  </si>
  <si>
    <t>http://zfin.org/ZDB-GENE-030909-14</t>
  </si>
  <si>
    <t>heparan sulfate 6-O-sulfotransferase 2 [Source:ZFIN;Acc:ZDB-GENE-030909-14]</t>
  </si>
  <si>
    <t>hs6st2</t>
  </si>
  <si>
    <t>ENSDARG00000012025</t>
  </si>
  <si>
    <t>http://zfin.org/ZDB-GENE-030131-6898</t>
  </si>
  <si>
    <t>heterogeneous nuclear ribonucleoprotein M [Source:ZFIN;Acc:ZDB-GENE-030131-6898]</t>
  </si>
  <si>
    <t>hnrnpm</t>
  </si>
  <si>
    <t>ENSDARG00000061735</t>
  </si>
  <si>
    <t>http://zfin.org/ZDB-GENE-990415-57</t>
  </si>
  <si>
    <t>enhancer of rudimentary homolog (Drosophila) [Source:ZFIN;Acc:ZDB-GENE-990415-57]</t>
  </si>
  <si>
    <t>erh</t>
  </si>
  <si>
    <t>ENSDARG00000032866</t>
  </si>
  <si>
    <t>http://zfin.org/ZDB-GENE-040426-2822</t>
  </si>
  <si>
    <t>http://zfin.org/ZDB-GENE-040704-75</t>
  </si>
  <si>
    <t>http://zfin.org/ZDB-GENE-000906-2</t>
  </si>
  <si>
    <t>http://zfin.org/ZDB-GENE-041010-25</t>
  </si>
  <si>
    <t>thioredoxin-like 4A [Source:ZFIN;Acc:ZDB-GENE-041010-25]</t>
  </si>
  <si>
    <t>txnl4a</t>
  </si>
  <si>
    <t>ENSDARG00000036190</t>
  </si>
  <si>
    <t>http://zfin.org/ZDB-GENE-040426-1421</t>
  </si>
  <si>
    <t>chaperonin containing TCP1, subunit 4 (delta) [Source:ZFIN;Acc:ZDB-GENE-040426-1421]</t>
  </si>
  <si>
    <t>cct4</t>
  </si>
  <si>
    <t>ENSDARG00000013475</t>
  </si>
  <si>
    <t>http://zfin.org/ZDB-GENE-040426-710</t>
  </si>
  <si>
    <t>heterogeneous nuclear ribonucleoprotein L [Source:ZFIN;Acc:ZDB-GENE-040426-710]</t>
  </si>
  <si>
    <t>hnrpl</t>
  </si>
  <si>
    <t>ENSDARG00000035324</t>
  </si>
  <si>
    <t>http://zfin.org/ZDB-GENE-030131-7782</t>
  </si>
  <si>
    <t>CCHC-type zinc finger, nucleic acid binding protein b [Source:ZFIN;Acc:ZDB-GENE-030131-7782]</t>
  </si>
  <si>
    <t>cnbpb</t>
  </si>
  <si>
    <t>ENSDARG00000070922</t>
  </si>
  <si>
    <t>http://zfin.org/ZDB-GENE-020419-5</t>
  </si>
  <si>
    <t>http://zfin.org/ZDB-GENE-030131-977</t>
  </si>
  <si>
    <t>chaperonin containing TCP1, subunit 5 (epsilon) [Source:ZFIN;Acc:ZDB-GENE-030131-977]</t>
  </si>
  <si>
    <t>cct5</t>
  </si>
  <si>
    <t>ENSDARG00000045399</t>
  </si>
  <si>
    <t>http://zfin.org/ZDB-GENE-040426-2848</t>
  </si>
  <si>
    <t>hexokinase 1 [Source:ZFIN;Acc:ZDB-GENE-040426-2848]</t>
  </si>
  <si>
    <t>hk1</t>
  </si>
  <si>
    <t>ENSDARG00000039452</t>
  </si>
  <si>
    <t>http://zfin.org/ZDB-GENE-040801-7</t>
  </si>
  <si>
    <t>small ubiquitin-like modifier 2b [Source:ZFIN;Acc:ZDB-GENE-040801-7]</t>
  </si>
  <si>
    <t>sumo2b</t>
  </si>
  <si>
    <t>ENSDARG00000102741</t>
  </si>
  <si>
    <t>http://zfin.org/ZDB-GENE-040426-2290</t>
  </si>
  <si>
    <t>http://zfin.org/ZDB-GENE-070410-85</t>
  </si>
  <si>
    <t>insulin-degrading enzyme [Source:ZFIN;Acc:ZDB-GENE-070410-85]</t>
  </si>
  <si>
    <t>ide</t>
  </si>
  <si>
    <t>ENSDARG00000075570</t>
  </si>
  <si>
    <t>http://zfin.org/ZDB-GENE-040426-904</t>
  </si>
  <si>
    <t>zgc:56106 [Source:ZFIN;Acc:ZDB-GENE-040426-904]</t>
  </si>
  <si>
    <t>zgc:56106</t>
  </si>
  <si>
    <t>ENSDARG00000022564</t>
  </si>
  <si>
    <t>http://zfin.org/ZDB-GENE-061027-176</t>
  </si>
  <si>
    <t>http://zfin.org/ZDB-GENE-040426-2548</t>
  </si>
  <si>
    <t>http://zfin.org/ZDB-GENE-070410-56</t>
  </si>
  <si>
    <t>proteasome 26S subunit, non-ATPase 14 [Source:ZFIN;Acc:ZDB-GENE-070410-56]</t>
  </si>
  <si>
    <t>psmd14</t>
  </si>
  <si>
    <t>ENSDARG00000063100</t>
  </si>
  <si>
    <t>http://zfin.org/ZDB-GENE-040625-136</t>
  </si>
  <si>
    <t>http://zfin.org/ZDB-GENE-100922-122</t>
  </si>
  <si>
    <t>prefoldin subunit 4 [Source:ZFIN;Acc:ZDB-GENE-100922-122]</t>
  </si>
  <si>
    <t>pfdn4</t>
  </si>
  <si>
    <t>ENSDARG00000061228</t>
  </si>
  <si>
    <t>http://zfin.org/ZDB-GENE-030131-1768</t>
  </si>
  <si>
    <t>activated leukocyte cell adhesion molecule b [Source:ZFIN;Acc:ZDB-GENE-030131-1768]</t>
  </si>
  <si>
    <t>alcamb</t>
  </si>
  <si>
    <t>ENSDARG00000058538</t>
  </si>
  <si>
    <t>http://zfin.org/ZDB-GENE-030131-304</t>
  </si>
  <si>
    <t>proteasome 26S subunit, ATPase 6 [Source:ZFIN;Acc:ZDB-GENE-030131-304]</t>
  </si>
  <si>
    <t>psmc6</t>
  </si>
  <si>
    <t>ENSDARG00000037038</t>
  </si>
  <si>
    <t>http://zfin.org/ZDB-GENE-041008-106</t>
  </si>
  <si>
    <t>ring-box 1, E3 ubiquitin protein ligase [Source:ZFIN;Acc:ZDB-GENE-041008-106]</t>
  </si>
  <si>
    <t>rbx1</t>
  </si>
  <si>
    <t>ENSDARG00000038030</t>
  </si>
  <si>
    <t>http://zfin.org/ZDB-GENE-990630-13</t>
  </si>
  <si>
    <t>lamin B2 [Source:ZFIN;Acc:ZDB-GENE-990630-13]</t>
  </si>
  <si>
    <t>lmnb2</t>
  </si>
  <si>
    <t>ENSDARG00000101624</t>
  </si>
  <si>
    <t>http://zfin.org/ZDB-GENE-040720-3</t>
  </si>
  <si>
    <t>BUD31 homolog (S. cerevisiae) [Source:ZFIN;Acc:ZDB-GENE-040720-3]</t>
  </si>
  <si>
    <t>bud31</t>
  </si>
  <si>
    <t>ENSDARG00000017084</t>
  </si>
  <si>
    <t>http://zfin.org/ZDB-GENE-040426-2213</t>
  </si>
  <si>
    <t>http://zfin.org/ZDB-GENE-040426-1735</t>
  </si>
  <si>
    <t>ribosomal protein S27, isoform 2 [Source:ZFIN;Acc:ZDB-GENE-040426-1735]</t>
  </si>
  <si>
    <t>rps27.2</t>
  </si>
  <si>
    <t>ENSDARG00000055475</t>
  </si>
  <si>
    <t>http://zfin.org/ZDB-GENE-020419-26</t>
  </si>
  <si>
    <t>small nuclear ribonucleoprotein polypeptide C [Source:ZFIN;Acc:ZDB-GENE-020419-26]</t>
  </si>
  <si>
    <t>snrpc</t>
  </si>
  <si>
    <t>ENSDARG00000009871</t>
  </si>
  <si>
    <t>http://zfin.org/ZDB-GENE-040426-899</t>
  </si>
  <si>
    <t>nudC nuclear distribution protein [Source:ZFIN;Acc:ZDB-GENE-040426-899]</t>
  </si>
  <si>
    <t>nudc</t>
  </si>
  <si>
    <t>ENSDARG00000104837</t>
  </si>
  <si>
    <t>http://zfin.org/ZDB-GENE-040426-2706</t>
  </si>
  <si>
    <t>http://zfin.org/ZDB-GENE-040426-2397</t>
  </si>
  <si>
    <t>serine/arginine-rich splicing factor 9 [Source:ZFIN;Acc:ZDB-GENE-040426-2397]</t>
  </si>
  <si>
    <t>srsf9</t>
  </si>
  <si>
    <t>ENSDARG00000008097</t>
  </si>
  <si>
    <t>http://zfin.org/ZDB-GENE-030131-9071</t>
  </si>
  <si>
    <t>rapunzel 2 [Source:ZFIN;Acc:ZDB-GENE-030131-9071]</t>
  </si>
  <si>
    <t>rpz2</t>
  </si>
  <si>
    <t>ENSDARG00000091215</t>
  </si>
  <si>
    <t>http://zfin.org/ZDB-GENE-030410-1</t>
  </si>
  <si>
    <t>http://zfin.org/ZDB-GENE-040426-2761</t>
  </si>
  <si>
    <t>APEX nuclease (multifunctional DNA repair enzyme) 1 [Source:ZFIN;Acc:ZDB-GENE-040426-2761]</t>
  </si>
  <si>
    <t>apex1</t>
  </si>
  <si>
    <t>ENSDARG00000045843</t>
  </si>
  <si>
    <t>http://zfin.org/ZDB-GENE-030131-3777</t>
  </si>
  <si>
    <t>http://zfin.org/ZDB-GENE-040912-175</t>
  </si>
  <si>
    <t>nuclear casein kinase and cyclin-dependent kinase substrate 1a [Source:ZFIN;Acc:ZDB-GENE-040912-175]</t>
  </si>
  <si>
    <t>nucks1a</t>
  </si>
  <si>
    <t>ENSDARG00000078473</t>
  </si>
  <si>
    <t>http://zfin.org/ZDB-GENE-020419-7</t>
  </si>
  <si>
    <t>chaperonin containing TCP1, subunit 7 (eta) [Source:ZFIN;Acc:ZDB-GENE-020419-7]</t>
  </si>
  <si>
    <t>cct7</t>
  </si>
  <si>
    <t>ENSDARG00000007385</t>
  </si>
  <si>
    <t>http://zfin.org/ZDB-GENE-040625-55</t>
  </si>
  <si>
    <t>http://zfin.org/ZDB-GENE-030131-7868</t>
  </si>
  <si>
    <t>septin 5a [Source:ZFIN;Acc:ZDB-GENE-030131-7868]</t>
  </si>
  <si>
    <t>sept5a</t>
  </si>
  <si>
    <t>ENSDARG00000013843</t>
  </si>
  <si>
    <t>http://zfin.org/ZDB-GENE-030131-7389</t>
  </si>
  <si>
    <t>SERPINE1 mRNA binding protein 1a [Source:ZFIN;Acc:ZDB-GENE-030131-7389]</t>
  </si>
  <si>
    <t>serbp1a</t>
  </si>
  <si>
    <t>ENSDARG00000074242</t>
  </si>
  <si>
    <t>http://zfin.org/ZDB-GENE-030131-8730</t>
  </si>
  <si>
    <t>proteasome 26S subunit, ATPase 1a [Source:ZFIN;Acc:ZDB-GENE-030131-8730]</t>
  </si>
  <si>
    <t>psmc1a</t>
  </si>
  <si>
    <t>ENSDARG00000030537</t>
  </si>
  <si>
    <t>http://zfin.org/ZDB-GENE-031001-3</t>
  </si>
  <si>
    <t>http://zfin.org/ZDB-GENE-030131-713</t>
  </si>
  <si>
    <t>non-POU domain containing, octamer-binding [Source:ZFIN;Acc:ZDB-GENE-030131-713]</t>
  </si>
  <si>
    <t>nono</t>
  </si>
  <si>
    <t>ENSDARG00000020482</t>
  </si>
  <si>
    <t>http://zfin.org/ZDB-GENE-050306-51</t>
  </si>
  <si>
    <t>RNA binding motif protein 8A [Source:ZFIN;Acc:ZDB-GENE-050306-51]</t>
  </si>
  <si>
    <t>rbm8a</t>
  </si>
  <si>
    <t>ENSDARG00000016516</t>
  </si>
  <si>
    <t>http://zfin.org/ZDB-GENE-040426-1327</t>
  </si>
  <si>
    <t>proteasome 26S subunit, ATPase 2 [Source:ZFIN;Acc:ZDB-GENE-040426-1327]</t>
  </si>
  <si>
    <t>psmc2</t>
  </si>
  <si>
    <t>ENSDARG00000020101</t>
  </si>
  <si>
    <t>http://zfin.org/ZDB-GENE-040426-1932</t>
  </si>
  <si>
    <t>proteasome subunit alpha 4 [Source:ZFIN;Acc:ZDB-GENE-040426-1932]</t>
  </si>
  <si>
    <t>psma4</t>
  </si>
  <si>
    <t>ENSDARG00000045928</t>
  </si>
  <si>
    <t>http://zfin.org/ZDB-GENE-040426-897</t>
  </si>
  <si>
    <t>splicing factor 3a, subunit 2 [Source:ZFIN;Acc:ZDB-GENE-040426-897]</t>
  </si>
  <si>
    <t>sf3a2</t>
  </si>
  <si>
    <t>ENSDARG00000021107</t>
  </si>
  <si>
    <t>http://zfin.org/ZDB-GENE-040123-1</t>
  </si>
  <si>
    <t>http://zfin.org/ZDB-GENE-040825-2</t>
  </si>
  <si>
    <t>small nuclear ribonucleoprotein 70 (U1) [Source:ZFIN;Acc:ZDB-GENE-040825-2]</t>
  </si>
  <si>
    <t>snrnp70</t>
  </si>
  <si>
    <t>ENSDARG00000077126</t>
  </si>
  <si>
    <t>http://zfin.org/ZDB-GENE-030131-5128</t>
  </si>
  <si>
    <t>http://zfin.org/ZDB-GENE-011212-2</t>
  </si>
  <si>
    <t>RAB2A, member RAS oncogene family [Source:ZFIN;Acc:ZDB-GENE-011212-2]</t>
  </si>
  <si>
    <t>rab2a</t>
  </si>
  <si>
    <t>ENSDARG00000020261</t>
  </si>
  <si>
    <t>http://zfin.org/ZDB-GENE-120420-1</t>
  </si>
  <si>
    <t>tumor protein p53 inducible nuclear protein 2 [Source:ZFIN;Acc:ZDB-GENE-120420-1]</t>
  </si>
  <si>
    <t>tp53inp2</t>
  </si>
  <si>
    <t>ENSDARG00000088178</t>
  </si>
  <si>
    <t>http://zfin.org/ZDB-GENE-041216-1</t>
  </si>
  <si>
    <t>mago homolog, exon junction complex core component [Source:ZFIN;Acc:ZDB-GENE-041216-1]</t>
  </si>
  <si>
    <t>magoh</t>
  </si>
  <si>
    <t>ENSDARG00000038635</t>
  </si>
  <si>
    <t>http://zfin.org/ZDB-GENE-040426-2194</t>
  </si>
  <si>
    <t>proteasome subunit alpha 8 [Source:ZFIN;Acc:ZDB-GENE-040426-2194]</t>
  </si>
  <si>
    <t>psma8</t>
  </si>
  <si>
    <t>ENSDARG00000010965</t>
  </si>
  <si>
    <t>http://zfin.org/ZDB-GENE-040625-127</t>
  </si>
  <si>
    <t>peptidylprolyl isomerase H (cyclophilin H) [Source:ZFIN;Acc:ZDB-GENE-040625-127]</t>
  </si>
  <si>
    <t>ppih</t>
  </si>
  <si>
    <t>ENSDARG00000041530</t>
  </si>
  <si>
    <t>http://zfin.org/ZDB-GENE-060616-217</t>
  </si>
  <si>
    <t>topoisomerase (DNA) I, like [Source:ZFIN;Acc:ZDB-GENE-060616-217]</t>
  </si>
  <si>
    <t>top1l</t>
  </si>
  <si>
    <t>ENSDARG00000070545</t>
  </si>
  <si>
    <t>http://zfin.org/ZDB-GENE-040426-1023</t>
  </si>
  <si>
    <t>H3 histone, family 3D [Source:ZFIN;Acc:ZDB-GENE-040426-1023]</t>
  </si>
  <si>
    <t>h3f3d</t>
  </si>
  <si>
    <t>http://zfin.org/ZDB-GENE-990714-24</t>
  </si>
  <si>
    <t>http://zfin.org/ZDB-GENE-051113-276</t>
  </si>
  <si>
    <t>ribosomal protein L22 [Source:ZFIN;Acc:ZDB-GENE-051113-276]</t>
  </si>
  <si>
    <t>rpl22</t>
  </si>
  <si>
    <t>ENSDARG00000070437</t>
  </si>
  <si>
    <t>http://zfin.org/ZDB-GENE-031113-14</t>
  </si>
  <si>
    <t>http://zfin.org/ZDB-GENE-070912-179</t>
  </si>
  <si>
    <t>chromodomain helicase DNA binding protein 7 [Source:ZFIN;Acc:ZDB-GENE-070912-179]</t>
  </si>
  <si>
    <t>chd7</t>
  </si>
  <si>
    <t>ENSDARG00000075211</t>
  </si>
  <si>
    <t>http://zfin.org/ZDB-GENE-040718-92</t>
  </si>
  <si>
    <t>http://zfin.org/ZDB-GENE-030131-4275</t>
  </si>
  <si>
    <t>DEAD (Asp-Glu-Ala-Asp) box polypeptide 39Aa [Source:ZFIN;Acc:ZDB-GENE-030131-4275]</t>
  </si>
  <si>
    <t>ddx39aa</t>
  </si>
  <si>
    <t>ENSDARG00000006225</t>
  </si>
  <si>
    <t>http://zfin.org/ZDB-GENE-030804-3</t>
  </si>
  <si>
    <t>calmodulin 2a (phosphorylase kinase, delta) [Source:ZFIN;Acc:ZDB-GENE-030804-3]</t>
  </si>
  <si>
    <t>calm2a</t>
  </si>
  <si>
    <t>ENSDARG00000031427</t>
  </si>
  <si>
    <t>http://zfin.org/ZDB-GENE-040426-860</t>
  </si>
  <si>
    <t>http://zfin.org/ZDB-GENE-000210-32</t>
  </si>
  <si>
    <t>http://zfin.org/ZDB-GENE-030131-6547</t>
  </si>
  <si>
    <t>proteasome 26S subunit, ATPase 5 [Source:ZFIN;Acc:ZDB-GENE-030131-6547]</t>
  </si>
  <si>
    <t>psmc5</t>
  </si>
  <si>
    <t>ENSDARG00000015315</t>
  </si>
  <si>
    <t>http://zfin.org/ZDB-GENE-040625-50</t>
  </si>
  <si>
    <t>http://zfin.org/ZDB-GENE-040426-1038</t>
  </si>
  <si>
    <t>proteasome 26S subunit, non-ATPase 6 [Source:ZFIN;Acc:ZDB-GENE-040426-1038]</t>
  </si>
  <si>
    <t>psmd6</t>
  </si>
  <si>
    <t>ENSDARG00000070674</t>
  </si>
  <si>
    <t>http://zfin.org/ZDB-GENE-030912-14</t>
  </si>
  <si>
    <t>http://zfin.org/ZDB-GENE-050428-1</t>
  </si>
  <si>
    <t>http://zfin.org/ZDB-GENE-030131-9687</t>
  </si>
  <si>
    <t>RNA 3'-terminal phosphate cyclase [Source:ZFIN;Acc:ZDB-GENE-030131-9687]</t>
  </si>
  <si>
    <t>rtca</t>
  </si>
  <si>
    <t>ENSDARG00000002215</t>
  </si>
  <si>
    <t>http://zfin.org/ZDB-GENE-020423-4</t>
  </si>
  <si>
    <t>http://zfin.org/ZDB-GENE-040930-10</t>
  </si>
  <si>
    <t>http://zfin.org/ZDB-GENE-040426-2043</t>
  </si>
  <si>
    <t>heterogeneous nuclear ribonucleoprotein C [Source:ZFIN;Acc:ZDB-GENE-040426-2043]</t>
  </si>
  <si>
    <t>hnrnpc</t>
  </si>
  <si>
    <t>ENSDARG00000053810</t>
  </si>
  <si>
    <t>http://zfin.org/ZDB-GENE-041111-187</t>
  </si>
  <si>
    <t>chromodomain helicase DNA binding protein 4a [Source:ZFIN;Acc:ZDB-GENE-041111-187]</t>
  </si>
  <si>
    <t>chd4a</t>
  </si>
  <si>
    <t>ENSDARG00000063535</t>
  </si>
  <si>
    <t>http://zfin.org/ZDB-GENE-061215-102</t>
  </si>
  <si>
    <t>TAF15 RNA polymerase II, TATA box binding protein (TBP)-associated factor [Source:ZFIN;Acc:ZDB-GENE-061215-102]</t>
  </si>
  <si>
    <t>taf15</t>
  </si>
  <si>
    <t>ENSDARG00000070019</t>
  </si>
  <si>
    <t>http://zfin.org/ZDB-GENE-050417-338</t>
  </si>
  <si>
    <t>CABZ01075268.2</t>
  </si>
  <si>
    <t>ENSDARG00000104674</t>
  </si>
  <si>
    <t>http://zfin.org/ZDB-GENE-040426-2454</t>
  </si>
  <si>
    <t>http://zfin.org/ZDB-GENE-040426-1725</t>
  </si>
  <si>
    <t>http://zfin.org/ZDB-GENE-030131-8581</t>
  </si>
  <si>
    <t>zgc:56493 [Source:ZFIN;Acc:ZDB-GENE-030131-8581]</t>
  </si>
  <si>
    <t>zgc:56493</t>
  </si>
  <si>
    <t>ENSDARG00000031435</t>
  </si>
  <si>
    <t>http://zfin.org/ZDB-GENE-030131-3932</t>
  </si>
  <si>
    <t>ankyrin repeat domain 11 [Source:ZFIN;Acc:ZDB-GENE-030131-3932]</t>
  </si>
  <si>
    <t>ankrd11</t>
  </si>
  <si>
    <t>ENSDARG00000051886</t>
  </si>
  <si>
    <t>http://zfin.org/ZDB-GENE-030131-1158</t>
  </si>
  <si>
    <t>chromobox homolog 3a (HP1 gamma homolog, Drosophila) [Source:ZFIN;Acc:ZDB-GENE-030131-1158]</t>
  </si>
  <si>
    <t>cbx3a</t>
  </si>
  <si>
    <t>ENSDARG00000003860</t>
  </si>
  <si>
    <t>http://zfin.org/ZDB-GENE-080917-47</t>
  </si>
  <si>
    <t>http://zfin.org/ZDB-GENE-030131-7310</t>
  </si>
  <si>
    <t>http://zfin.org/ZDB-GENE-040426-1004</t>
  </si>
  <si>
    <t>http://zfin.org/ZDB-GENE-050320-15</t>
  </si>
  <si>
    <t>http://zfin.org/ZDB-GENE-040426-1798</t>
  </si>
  <si>
    <t>serine/arginine-rich splicing factor 7a [Source:ZFIN;Acc:ZDB-GENE-040426-1798]</t>
  </si>
  <si>
    <t>srsf7a</t>
  </si>
  <si>
    <t>ENSDARG00000035325</t>
  </si>
  <si>
    <t>http://zfin.org/ZDB-GENE-060331-105</t>
  </si>
  <si>
    <t>http://zfin.org/ZDB-GENE-070410-36</t>
  </si>
  <si>
    <t>ATPase inhibitory factor 1a [Source:ZFIN;Acc:ZDB-GENE-070410-36]</t>
  </si>
  <si>
    <t>atpif1a</t>
  </si>
  <si>
    <t>ENSDARG00000067975</t>
  </si>
  <si>
    <t>http://zfin.org/ZDB-GENE-030131-617</t>
  </si>
  <si>
    <t>proteasome 26S subunit, non-ATPase 12 [Source:ZFIN;Acc:ZDB-GENE-030131-617]</t>
  </si>
  <si>
    <t>psmd12</t>
  </si>
  <si>
    <t>ENSDARG00000052377</t>
  </si>
  <si>
    <t>http://zfin.org/ZDB-GENE-030131-215</t>
  </si>
  <si>
    <t>cofilin 1 [Source:ZFIN;Acc:ZDB-GENE-030131-215]</t>
  </si>
  <si>
    <t>cfl1</t>
  </si>
  <si>
    <t>ENSDARG00000021124</t>
  </si>
  <si>
    <t>http://zfin.org/ZDB-GENE-030131-9966</t>
  </si>
  <si>
    <t>guanine nucleotide binding protein (G protein), gamma 5 [Source:ZFIN;Acc:ZDB-GENE-030131-9966]</t>
  </si>
  <si>
    <t>gng5</t>
  </si>
  <si>
    <t>ENSDARG00000039830</t>
  </si>
  <si>
    <t>http://zfin.org/ZDB-GENE-030131-168</t>
  </si>
  <si>
    <t>http://zfin.org/ZDB-GENE-050522-161</t>
  </si>
  <si>
    <t>SAP domain containing ribonucleoprotein [Source:ZFIN;Acc:ZDB-GENE-050522-161]</t>
  </si>
  <si>
    <t>sarnp</t>
  </si>
  <si>
    <t>ENSDARG00000059357</t>
  </si>
  <si>
    <t>http://zfin.org/ZDB-GENE-040426-1679</t>
  </si>
  <si>
    <t>Sin3A-associated protein [Source:ZFIN;Acc:ZDB-GENE-040426-1679]</t>
  </si>
  <si>
    <t>sap18</t>
  </si>
  <si>
    <t>ENSDARG00000057854</t>
  </si>
  <si>
    <t>http://zfin.org/ZDB-GENE-030131-8657</t>
  </si>
  <si>
    <t>http://zfin.org/ZDB-GENE-040426-2209</t>
  </si>
  <si>
    <t>http://zfin.org/ZDB-GENE-040801-250</t>
  </si>
  <si>
    <t>LysM, putative peptidoglycan-binding, domain containing 2 [Source:ZFIN;Acc:ZDB-GENE-040801-250]</t>
  </si>
  <si>
    <t>lysmd2</t>
  </si>
  <si>
    <t>ENSDARG00000091771</t>
  </si>
  <si>
    <t>http://zfin.org/ZDB-GENE-040426-2229</t>
  </si>
  <si>
    <t>eukaryotic translation initiation factor 5A [Source:ZFIN;Acc:ZDB-GENE-040426-2229]</t>
  </si>
  <si>
    <t>eif5a</t>
  </si>
  <si>
    <t>ENSDARG00000017235</t>
  </si>
  <si>
    <t>http://zfin.org/ZDB-GENE-141212-262</t>
  </si>
  <si>
    <t>http://zfin.org/ZDB-GENE-050419-195</t>
  </si>
  <si>
    <t>plasmolipin [Source:ZFIN;Acc:ZDB-GENE-050419-195]</t>
  </si>
  <si>
    <t>pllp</t>
  </si>
  <si>
    <t>ENSDARG00000062756</t>
  </si>
  <si>
    <t>http://zfin.org/ZDB-GENE-030131-8398</t>
  </si>
  <si>
    <t>http://zfin.org/ZDB-GENE-040426-1071</t>
  </si>
  <si>
    <t>http://zfin.org/ZDB-GENE-050913-120</t>
  </si>
  <si>
    <t>proteasome subunit alpha 3 [Source:ZFIN;Acc:ZDB-GENE-050913-120]</t>
  </si>
  <si>
    <t>psma3</t>
  </si>
  <si>
    <t>ENSDARG00000086618</t>
  </si>
  <si>
    <t>http://zfin.org/ZDB-GENE-020326-1</t>
  </si>
  <si>
    <t>proteasome subunit alpha 6a [Source:ZFIN;Acc:ZDB-GENE-020326-1]</t>
  </si>
  <si>
    <t>psma6a</t>
  </si>
  <si>
    <t>ENSDARG00000019398</t>
  </si>
  <si>
    <t>http://zfin.org/ZDB-GENE-021219-3</t>
  </si>
  <si>
    <t>PHD finger protein 5A [Source:ZFIN;Acc:ZDB-GENE-021219-3]</t>
  </si>
  <si>
    <t>phf5a</t>
  </si>
  <si>
    <t>ENSDARG00000045155</t>
  </si>
  <si>
    <t>http://zfin.org/ZDB-GENE-050417-333</t>
  </si>
  <si>
    <t>http://zfin.org/ZDB-GENE-040718-181</t>
  </si>
  <si>
    <t>splicing factor 3b, subunit 5 [Source:ZFIN;Acc:ZDB-GENE-040718-181]</t>
  </si>
  <si>
    <t>sf3b5</t>
  </si>
  <si>
    <t>ENSDARG00000016855</t>
  </si>
  <si>
    <t>http://zfin.org/ZDB-GENE-990415-89</t>
  </si>
  <si>
    <t>http://zfin.org/ZDB-GENE-030131-9092</t>
  </si>
  <si>
    <t>http://zfin.org/ZDB-GENE-050208-747</t>
  </si>
  <si>
    <t>ankyrin repeat domain 24 [Source:ZFIN;Acc:ZDB-GENE-050208-747]</t>
  </si>
  <si>
    <t>ankrd24</t>
  </si>
  <si>
    <t>ENSDARG00000062103</t>
  </si>
  <si>
    <t>http://zfin.org/ZDB-GENE-030131-7275</t>
  </si>
  <si>
    <t>http://zfin.org/ZDB-GENE-000629-1</t>
  </si>
  <si>
    <t>http://zfin.org/ZDB-GENE-040426-1928</t>
  </si>
  <si>
    <t>http://zfin.org/ZDB-GENE-040426-2832</t>
  </si>
  <si>
    <t>heat shock protein 4a [Source:ZFIN;Acc:ZDB-GENE-040426-2832]</t>
  </si>
  <si>
    <t>hspa4a</t>
  </si>
  <si>
    <t>ENSDARG00000004754</t>
  </si>
  <si>
    <t>http://zfin.org/ZDB-GENE-030131-2426</t>
  </si>
  <si>
    <t>http://zfin.org/ZDB-GENE-030131-2025</t>
  </si>
  <si>
    <t>http://zfin.org/ZDB-GENE-040718-124</t>
  </si>
  <si>
    <t>enhancer of yellow 2 homolog (Drosophila) [Source:ZFIN;Acc:ZDB-GENE-040718-124]</t>
  </si>
  <si>
    <t>eny2</t>
  </si>
  <si>
    <t>ENSDARG00000070046</t>
  </si>
  <si>
    <t>http://zfin.org/ZDB-GENE-040912-105</t>
  </si>
  <si>
    <t>small nuclear ribonucleoprotein polypeptide G [Source:ZFIN;Acc:ZDB-GENE-040912-105]</t>
  </si>
  <si>
    <t>snrpg</t>
  </si>
  <si>
    <t>ENSDARG00000099667</t>
  </si>
  <si>
    <t>http://zfin.org/ZDB-GENE-030131-5541</t>
  </si>
  <si>
    <t>proteasome 26S subunit, non-ATPase 7 [Source:ZFIN;Acc:ZDB-GENE-030131-5541]</t>
  </si>
  <si>
    <t>psmd7</t>
  </si>
  <si>
    <t>ENSDARG00000102417</t>
  </si>
  <si>
    <t>http://zfin.org/ZDB-GENE-030131-579</t>
  </si>
  <si>
    <t>RNA binding motif protein, X-linked [Source:ZFIN;Acc:ZDB-GENE-030131-579]</t>
  </si>
  <si>
    <t>rbmx</t>
  </si>
  <si>
    <t>ENSDARG00000014244</t>
  </si>
  <si>
    <t>http://zfin.org/ZDB-GENE-061215-70</t>
  </si>
  <si>
    <t>http://zfin.org/ZDB-GENE-040426-1938</t>
  </si>
  <si>
    <t>http://zfin.org/ZDB-GENE-050522-549</t>
  </si>
  <si>
    <t>http://zfin.org/ZDB-GENE-040426-1444</t>
  </si>
  <si>
    <t>proteasome 26S subunit, non-ATPase 3 [Source:ZFIN;Acc:ZDB-GENE-040426-1444]</t>
  </si>
  <si>
    <t>psmd3</t>
  </si>
  <si>
    <t>ENSDARG00000018124</t>
  </si>
  <si>
    <t>http://zfin.org/ZDB-GENE-040914-10</t>
  </si>
  <si>
    <t>small nuclear ribonucleoprotein D2 polypeptide [Source:ZFIN;Acc:ZDB-GENE-040914-10]</t>
  </si>
  <si>
    <t>snrpd2</t>
  </si>
  <si>
    <t>ENSDARG00000040440</t>
  </si>
  <si>
    <t>http://zfin.org/ZDB-GENE-030131-2085</t>
  </si>
  <si>
    <t>http://zfin.org/ZDB-GENE-030131-9034</t>
  </si>
  <si>
    <t>http://zfin.org/ZDB-GENE-001212-1</t>
  </si>
  <si>
    <t>ATPase, Na+/K+ transporting, alpha 1a polypeptide, tandem duplicate 1 [Source:ZFIN;Acc:ZDB-GENE-001212-1]</t>
  </si>
  <si>
    <t>atp1a1a.1</t>
  </si>
  <si>
    <t>ENSDARG00000002791</t>
  </si>
  <si>
    <t>http://zfin.org/ZDB-GENE-050506-107</t>
  </si>
  <si>
    <t>http://zfin.org/ZDB-GENE-030131-5841</t>
  </si>
  <si>
    <t>cold inducible RNA binding protein b [Source:ZFIN;Acc:ZDB-GENE-030131-5841]</t>
  </si>
  <si>
    <t>cirbpb</t>
  </si>
  <si>
    <t>ENSDARG00000013351</t>
  </si>
  <si>
    <t>http://zfin.org/ZDB-GENE-040426-2701</t>
  </si>
  <si>
    <t>http://zfin.org/ZDB-GENE-020419-2</t>
  </si>
  <si>
    <t>http://zfin.org/ZDB-GENE-040801-10</t>
  </si>
  <si>
    <t>proteasome maturation protein [Source:ZFIN;Acc:ZDB-GENE-040801-10]</t>
  </si>
  <si>
    <t>pomp</t>
  </si>
  <si>
    <t>ENSDARG00000032296</t>
  </si>
  <si>
    <t>http://zfin.org/ZDB-GENE-040618-2</t>
  </si>
  <si>
    <t>http://zfin.org/ZDB-GENE-040426-1718</t>
  </si>
  <si>
    <t>http://zfin.org/ZDB-GENE-050417-329</t>
  </si>
  <si>
    <t>http://zfin.org/ZDB-GENE-030131-475</t>
  </si>
  <si>
    <t>http://zfin.org/ZDB-GENE-040426-2345</t>
  </si>
  <si>
    <t>interleukin enhancer binding factor 2 [Source:ZFIN;Acc:ZDB-GENE-040426-2345]</t>
  </si>
  <si>
    <t>ilf2</t>
  </si>
  <si>
    <t>ENSDARG00000014591</t>
  </si>
  <si>
    <t>http://zfin.org/ZDB-GENE-000607-83</t>
  </si>
  <si>
    <t>http://zfin.org/ZDB-GENE-980526-521</t>
  </si>
  <si>
    <t>http://zfin.org/ZDB-GENE-031001-9</t>
  </si>
  <si>
    <t>http://zfin.org/ZDB-GENE-071005-2</t>
  </si>
  <si>
    <t>http://zfin.org/ZDB-GENE-050208-34</t>
  </si>
  <si>
    <t>http://zfin.org/ZDB-GENE-071004-16</t>
  </si>
  <si>
    <t>http://zfin.org/ZDB-GENE-050208-448</t>
  </si>
  <si>
    <t>http://zfin.org/ZDB-GENE-030131-3885</t>
  </si>
  <si>
    <t>myelin transcription factor 1a [Source:ZFIN;Acc:ZDB-GENE-030131-3885]</t>
  </si>
  <si>
    <t>myt1a</t>
  </si>
  <si>
    <t>ENSDARG00000074030</t>
  </si>
  <si>
    <t>http://zfin.org/ZDB-GENE-040625-51</t>
  </si>
  <si>
    <t>http://zfin.org/ZDB-GENE-070928-31</t>
  </si>
  <si>
    <t>http://zfin.org/ZDB-GENE-081105-168</t>
  </si>
  <si>
    <t>si:dkey-159f12.2 [Source:ZFIN;Acc:ZDB-GENE-081105-168]</t>
  </si>
  <si>
    <t>RPS11 (1 of many)</t>
  </si>
  <si>
    <t>ENSDARG00000093606</t>
  </si>
  <si>
    <t>http://zfin.org/ZDB-GENE-030131-5161</t>
  </si>
  <si>
    <t>ribosomal protein L5a [Source:ZFIN;Acc:ZDB-GENE-030131-5161]</t>
  </si>
  <si>
    <t>rpl5a</t>
  </si>
  <si>
    <t>ENSDARG00000020197</t>
  </si>
  <si>
    <t>http://zfin.org/ZDB-GENE-030131-8585</t>
  </si>
  <si>
    <t>http://zfin.org/ZDB-GENE-030131-8656</t>
  </si>
  <si>
    <t>http://zfin.org/ZDB-GENE-030131-1921</t>
  </si>
  <si>
    <t>myristoylated alanine-rich protein kinase C substrate b [Source:ZFIN;Acc:ZDB-GENE-030131-1921]</t>
  </si>
  <si>
    <t>marcksb</t>
  </si>
  <si>
    <t>ENSDARG00000008803</t>
  </si>
  <si>
    <t>http://zfin.org/ZDB-GENE-030131-7828</t>
  </si>
  <si>
    <t>http://zfin.org/ZDB-GENE-040426-1700</t>
  </si>
  <si>
    <t>http://zfin.org/ZDB-GENE-990415-216</t>
  </si>
  <si>
    <t>proteasome subunit beta 6 [Source:ZFIN;Acc:ZDB-GENE-990415-216]</t>
  </si>
  <si>
    <t>psmb6</t>
  </si>
  <si>
    <t>ENSDARG00000002240</t>
  </si>
  <si>
    <t>http://zfin.org/ZDB-GENE-040426-1706</t>
  </si>
  <si>
    <t>http://zfin.org/ZDB-GENE-031030-2</t>
  </si>
  <si>
    <t>eukaryotic translation initiation factor 4A1A [Source:ZFIN;Acc:ZDB-GENE-031030-2]</t>
  </si>
  <si>
    <t>eif4a1a</t>
  </si>
  <si>
    <t>ENSDARG00000092115</t>
  </si>
  <si>
    <t>http://zfin.org/ZDB-GENE-990415-17</t>
  </si>
  <si>
    <t>http://zfin.org/ZDB-GENE-020419-32</t>
  </si>
  <si>
    <t>histone deacetylase 1 [Source:ZFIN;Acc:ZDB-GENE-020419-32]</t>
  </si>
  <si>
    <t>hdac1</t>
  </si>
  <si>
    <t>ENSDARG00000015427</t>
  </si>
  <si>
    <t>http://zfin.org/ZDB-GENE-040801-8</t>
  </si>
  <si>
    <t>http://zfin.org/ZDB-GENE-040801-165</t>
  </si>
  <si>
    <t>http://zfin.org/ZDB-GENE-040625-96</t>
  </si>
  <si>
    <t>proteasome subunit alpha 5 [Source:ZFIN;Acc:ZDB-GENE-040625-96]</t>
  </si>
  <si>
    <t>psma5</t>
  </si>
  <si>
    <t>ENSDARG00000003526</t>
  </si>
  <si>
    <t>http://zfin.org/ZDB-GENE-040426-1852</t>
  </si>
  <si>
    <t>http://zfin.org/ZDB-GENE-030131-8654</t>
  </si>
  <si>
    <t>http://zfin.org/ZDB-GENE-040426-1716</t>
  </si>
  <si>
    <t>http://zfin.org/ZDB-GENE-001208-4</t>
  </si>
  <si>
    <t>http://zfin.org/ZDB-GENE-030131-8756</t>
  </si>
  <si>
    <t>http://zfin.org/ZDB-GENE-040426-2902</t>
  </si>
  <si>
    <t>DEAD (Asp-Glu-Ala-Asp) box polypeptide 39Ab [Source:ZFIN;Acc:ZDB-GENE-040426-2902]</t>
  </si>
  <si>
    <t>ddx39ab</t>
  </si>
  <si>
    <t>ENSDARG00000015111</t>
  </si>
  <si>
    <t>http://zfin.org/ZDB-GENE-040426-1810</t>
  </si>
  <si>
    <t>http://zfin.org/ZDB-GENE-020423-3</t>
  </si>
  <si>
    <t>http://zfin.org/ZDB-GENE-990415-52</t>
  </si>
  <si>
    <t>eukaryotic translation elongation factor 1 alpha 1, like 2 [Source:ZFIN;Acc:ZDB-GENE-050706-188]</t>
  </si>
  <si>
    <t>eef1a1l2</t>
  </si>
  <si>
    <t>http://zfin.org/ZDB-GENE-040426-1670</t>
  </si>
  <si>
    <t>http://zfin.org/ZDB-GENE-980605-16</t>
  </si>
  <si>
    <t>http://zfin.org/ZDB-GENE-040801-15</t>
  </si>
  <si>
    <t>proteasome subunit alpha 1 [Source:ZFIN;Acc:ZDB-GENE-040801-15]</t>
  </si>
  <si>
    <t>psma1</t>
  </si>
  <si>
    <t>ENSDARG00000101560</t>
  </si>
  <si>
    <t>http://zfin.org/ZDB-GENE-030131-10018</t>
  </si>
  <si>
    <t>http://zfin.org/ZDB-GENE-070629-3</t>
  </si>
  <si>
    <t>LSM8 homolog, U6 small nuclear RNA associated [Source:ZFIN;Acc:ZDB-GENE-070629-3]</t>
  </si>
  <si>
    <t>lsm8</t>
  </si>
  <si>
    <t>ENSDARG00000091656</t>
  </si>
  <si>
    <t>http://zfin.org/ZDB-GENE-020717-1</t>
  </si>
  <si>
    <t>H2A histone family, member Va [Source:ZFIN;Acc:ZDB-GENE-020717-1]</t>
  </si>
  <si>
    <t>h2afva</t>
  </si>
  <si>
    <t>ENSDARG00000068820</t>
  </si>
  <si>
    <t>http://zfin.org/ZDB-GENE-060804-3</t>
  </si>
  <si>
    <t>http://zfin.org/ZDB-GENE-030131-693</t>
  </si>
  <si>
    <t>http://zfin.org/ZDB-GENE-030131-5219</t>
  </si>
  <si>
    <t>small nuclear ribonucleoprotein D3 polypeptide, like [Source:ZFIN;Acc:ZDB-GENE-030131-5219]</t>
  </si>
  <si>
    <t>snrpd3l</t>
  </si>
  <si>
    <t>ENSDARG00000076283</t>
  </si>
  <si>
    <t>http://zfin.org/ZDB-GENE-031002-50</t>
  </si>
  <si>
    <t>zinc finger protein 395 [Source:ZFIN;Acc:ZDB-GENE-031002-50]</t>
  </si>
  <si>
    <t>fam49a</t>
  </si>
  <si>
    <t>ENSDARG00000006672</t>
  </si>
  <si>
    <t>http://zfin.org/ZDB-GENE-030131-433</t>
  </si>
  <si>
    <t>SET nuclear proto-oncogene b [Source:ZFIN;Acc:ZDB-GENE-030131-433]</t>
  </si>
  <si>
    <t>setb</t>
  </si>
  <si>
    <t>ENSDARG00000003920</t>
  </si>
  <si>
    <t>http://zfin.org/ZDB-GENE-020419-20</t>
  </si>
  <si>
    <t>BX927308.1</t>
  </si>
  <si>
    <t>http://zfin.org/ZDB-GENE-030131-8494</t>
  </si>
  <si>
    <t>http://zfin.org/ZDB-GENE-040426-1112</t>
  </si>
  <si>
    <t>http://zfin.org/ZDB-GENE-070928-29</t>
  </si>
  <si>
    <t>Aly/REF export factor [Source:ZFIN;Acc:ZDB-GENE-070928-29]</t>
  </si>
  <si>
    <t>alyref</t>
  </si>
  <si>
    <t>ENSDARG00000077732</t>
  </si>
  <si>
    <t>http://zfin.org/ZDB-GENE-040426-1200</t>
  </si>
  <si>
    <t>3-hydroxyacyl-CoA dehydratase 3 [Source:ZFIN;Acc:ZDB-GENE-040426-1200]</t>
  </si>
  <si>
    <t>hacd3</t>
  </si>
  <si>
    <t>ENSDARG00000016038</t>
  </si>
  <si>
    <t>http://zfin.org/ZDB-GENE-020419-12</t>
  </si>
  <si>
    <t>http://zfin.org/ZDB-GENE-030131-8606</t>
  </si>
  <si>
    <t>http://zfin.org/ZDB-GENE-030131-5297</t>
  </si>
  <si>
    <t>http://zfin.org/ZDB-GENE-040426-1033</t>
  </si>
  <si>
    <t>http://zfin.org/ZDB-GENE-040426-2117</t>
  </si>
  <si>
    <t>http://zfin.org/ZDB-GENE-040426-1481</t>
  </si>
  <si>
    <t>http://zfin.org/ZDB-GENE-051023-7</t>
  </si>
  <si>
    <t>http://zfin.org/ZDB-GENE-040426-2682</t>
  </si>
  <si>
    <t>http://zfin.org/ZDB-GENE-030131-6154</t>
  </si>
  <si>
    <t>heterogeneous nuclear ribonucleoprotein A0b [Source:ZFIN;Acc:ZDB-GENE-030131-6154]</t>
  </si>
  <si>
    <t>hnrnpa0b</t>
  </si>
  <si>
    <t>ENSDARG00000036162</t>
  </si>
  <si>
    <t>http://zfin.org/ZDB-GENE-040927-19</t>
  </si>
  <si>
    <t>http://zfin.org/ZDB-GENE-040426-1819</t>
  </si>
  <si>
    <t>http://zfin.org/ZDB-GENE-040625-147</t>
  </si>
  <si>
    <t>http://zfin.org/ZDB-GENE-030131-8290</t>
  </si>
  <si>
    <t>ENSDARG00000004588</t>
  </si>
  <si>
    <t>http://zfin.org/ZDB-GENE-030131-9184</t>
  </si>
  <si>
    <t>http://zfin.org/ZDB-GENE-030825-2</t>
  </si>
  <si>
    <t>BCL2-like 10 (apoptosis facilitator) [Source:ZFIN;Acc:ZDB-GENE-030825-2]</t>
  </si>
  <si>
    <t>bcl2l10</t>
  </si>
  <si>
    <t>ENSDARG00000026766</t>
  </si>
  <si>
    <t>http://zfin.org/ZDB-GENE-020419-14</t>
  </si>
  <si>
    <t>http://zfin.org/ZDB-GENE-030131-2022</t>
  </si>
  <si>
    <t>http://zfin.org/ZDB-GENE-040622-2</t>
  </si>
  <si>
    <t>http://zfin.org/ZDB-GENE-030131-8631</t>
  </si>
  <si>
    <t>http://zfin.org/ZDB-GENE-050307-5</t>
  </si>
  <si>
    <t>http://zfin.org/ZDB-GENE-990415-54</t>
  </si>
  <si>
    <t>empty spiracles homeobox 2 [Source:ZFIN;Acc:ZDB-GENE-990415-54]</t>
  </si>
  <si>
    <t>emx2</t>
  </si>
  <si>
    <t>ENSDARG00000039701</t>
  </si>
  <si>
    <t>http://zfin.org/ZDB-GENE-080220-50</t>
  </si>
  <si>
    <t>http://zfin.org/ZDB-GENE-030131-8512</t>
  </si>
  <si>
    <t>http://zfin.org/ZDB-GENE-030131-4862</t>
  </si>
  <si>
    <t>http://zfin.org/ZDB-GENE-030131-4343</t>
  </si>
  <si>
    <t>http://zfin.org/ZDB-GENE-030131-8646</t>
  </si>
  <si>
    <t>http://zfin.org/ZDB-GENE-040628-1</t>
  </si>
  <si>
    <t>http://zfin.org/ZDB-GENE-070719-5</t>
  </si>
  <si>
    <t>http://zfin.org/ZDB-GENE-051120-126</t>
  </si>
  <si>
    <t>http://zfin.org/ZDB-GENE-040426-811</t>
  </si>
  <si>
    <t>http://zfin.org/ZDB-GENE-030131-1600</t>
  </si>
  <si>
    <t>EWS RNA-binding protein 1b [Source:ZFIN;Acc:ZDB-GENE-030131-1600]</t>
  </si>
  <si>
    <t>ewsr1b</t>
  </si>
  <si>
    <t>ENSDARG00000020465</t>
  </si>
  <si>
    <t>http://zfin.org/ZDB-GENE-031006-14</t>
  </si>
  <si>
    <t>http://zfin.org/ZDB-GENE-040625-93</t>
  </si>
  <si>
    <t>http://zfin.org/ZDB-GENE-030131-8708</t>
  </si>
  <si>
    <t>http://zfin.org/ZDB-GENE-060322-5</t>
  </si>
  <si>
    <t>SRY (sex determining region Y)-box 1b [Source:ZFIN;Acc:ZDB-GENE-060322-5]</t>
  </si>
  <si>
    <t>sox1b</t>
  </si>
  <si>
    <t>ENSDARG00000008131</t>
  </si>
  <si>
    <t>http://zfin.org/ZDB-GENE-030828-5</t>
  </si>
  <si>
    <t>http://zfin.org/ZDB-GENE-040622-5</t>
  </si>
  <si>
    <t>http://zfin.org/ZDB-GENE-060331-121</t>
  </si>
  <si>
    <t>http://zfin.org/ZDB-GENE-131120-172</t>
  </si>
  <si>
    <t>http://zfin.org/ZDB-GENE-030131-2221</t>
  </si>
  <si>
    <t>SET nuclear proto-oncogene a [Source:ZFIN;Acc:ZDB-GENE-030131-2221]</t>
  </si>
  <si>
    <t>http://zfin.org/ZDB-GENE-040109-5</t>
  </si>
  <si>
    <t>http://zfin.org/ZDB-GENE-030131-7647</t>
  </si>
  <si>
    <t>http://zfin.org/ZDB-GENE-040801-167</t>
  </si>
  <si>
    <t>ribosomal protein L29 [Source:ZFIN;Acc:ZDB-GENE-040801-167]</t>
  </si>
  <si>
    <t>rpl29</t>
  </si>
  <si>
    <t>http://zfin.org/ZDB-GENE-030131-7479</t>
  </si>
  <si>
    <t>http://zfin.org/ZDB-GENE-040426-2284</t>
  </si>
  <si>
    <t>http://zfin.org/ZDB-GENE-041201-1</t>
  </si>
  <si>
    <t>atonal bHLH transcription factor 1b [Source:ZFIN;Acc:ZDB-GENE-041201-1]</t>
  </si>
  <si>
    <t>atoh1b</t>
  </si>
  <si>
    <t>ENSDARG00000099564</t>
  </si>
  <si>
    <t>http://zfin.org/ZDB-GENE-020423-1</t>
  </si>
  <si>
    <t>http://zfin.org/ZDB-GENE-030131-8752</t>
  </si>
  <si>
    <t>http://zfin.org/ZDB-GENE-030131-8951</t>
  </si>
  <si>
    <t>http://zfin.org/ZDB-GENE-030131-1291</t>
  </si>
  <si>
    <t>http://zfin.org/ZDB-GENE-040625-52</t>
  </si>
  <si>
    <t>http://zfin.org/ZDB-GENE-040930-9</t>
  </si>
  <si>
    <t>http://zfin.org/ZDB-GENE-031007-1</t>
  </si>
  <si>
    <t>http://zfin.org/ZDB-GENE-030131-8626</t>
  </si>
  <si>
    <t>http://zfin.org/ZDB-GENE-040426-1788</t>
  </si>
  <si>
    <t>http://zfin.org/ZDB-GENE-061114-1</t>
  </si>
  <si>
    <t>http://zfin.org/ZDB-GENE-030707-2</t>
  </si>
  <si>
    <t>http://zfin.org/ZDB-GENE-030131-461</t>
  </si>
  <si>
    <t>http://zfin.org/ZDB-GENE-030131-5561</t>
  </si>
  <si>
    <t>MYCL proto-oncogene, bHLH transcription factor b [Source:ZFIN;Acc:ZDB-GENE-030131-5561]</t>
  </si>
  <si>
    <t>http://zfin.org/ZDB-GENE-000210-25</t>
  </si>
  <si>
    <t>http://zfin.org/ZDB-GENE-040625-39</t>
  </si>
  <si>
    <t>ENSDARG00000034291</t>
  </si>
  <si>
    <t>http://zfin.org/ZDB-GENE-030131-618</t>
  </si>
  <si>
    <t>http://zfin.org/ZDB-GENE-010724-15</t>
  </si>
  <si>
    <t>http://zfin.org/ZDB-GENE-020419-25</t>
  </si>
  <si>
    <t>http://zfin.org/ZDB-GENE-030131-185</t>
  </si>
  <si>
    <t>heterogeneous nuclear ribonucleoprotein A/Ba [Source:ZFIN;Acc:ZDB-GENE-030131-185]</t>
  </si>
  <si>
    <t>hnrnpaba</t>
  </si>
  <si>
    <t>ENSDARG00000007960</t>
  </si>
  <si>
    <t>http://zfin.org/ZDB-GENE-090507-4</t>
  </si>
  <si>
    <t>http://zfin.org/ZDB-GENE-040718-190</t>
  </si>
  <si>
    <t>http://zfin.org/ZDB-GENE-990415-47</t>
  </si>
  <si>
    <t>http://zfin.org/ZDB-GENE-040426-2516</t>
  </si>
  <si>
    <t>heterogeneous nuclear ribonucleoprotein A/Bb [Source:ZFIN;Acc:ZDB-GENE-040426-2516]</t>
  </si>
  <si>
    <t>hnrnpabb</t>
  </si>
  <si>
    <t>ENSDARG00000099865</t>
  </si>
  <si>
    <t>http://zfin.org/ZDB-GENE-040426-2879</t>
  </si>
  <si>
    <t>http://zfin.org/ZDB-GENE-030131-2249</t>
  </si>
  <si>
    <t>heterogeneous nuclear ribonucleoprotein A0a [Source:ZFIN;Acc:ZDB-GENE-030131-2249]</t>
  </si>
  <si>
    <t>ENSDARG00000089302</t>
  </si>
  <si>
    <t>http://zfin.org/ZDB-GENE-040724-166</t>
  </si>
  <si>
    <t>http://zfin.org/ZDB-GENE-030131-8663</t>
  </si>
  <si>
    <t>http://zfin.org/ZDB-GENE-030131-8556</t>
  </si>
  <si>
    <t>peptidylprolyl isomerase Aa (cyclophilin A) [Source:ZFIN;Acc:ZDB-GENE-030131-8556]</t>
  </si>
  <si>
    <t>ppiaa</t>
  </si>
  <si>
    <t>ENSDARG00000009212</t>
  </si>
  <si>
    <t>http://zfin.org/ZDB-GENE-040426-1102</t>
  </si>
  <si>
    <t>http://zfin.org/ZDB-GENE-030131-7528</t>
  </si>
  <si>
    <t>RPL41</t>
  </si>
  <si>
    <t>http://zfin.org/ZDB-GENE-141216-84</t>
  </si>
  <si>
    <t>http://zfin.org/ZDB-GENE-980526-114</t>
  </si>
  <si>
    <t>http://zfin.org/ZDB-GENE-030925-31</t>
  </si>
  <si>
    <t>shisa family member 2a [Source:ZFIN;Acc:ZDB-GENE-030925-31]</t>
  </si>
  <si>
    <t>shisa2a</t>
  </si>
  <si>
    <t>CR318588.4</t>
  </si>
  <si>
    <t>ENSDARG00000095556</t>
  </si>
  <si>
    <t>http://zfin.org/ZDB-GENE-980526-29</t>
  </si>
  <si>
    <t>http://zfin.org/ZDB-GENE-081105-161</t>
  </si>
  <si>
    <t>http://zfin.org/ZDB-GENE-010502-1</t>
  </si>
  <si>
    <t>http://zfin.org/ZDB-GENE-030131-5783</t>
  </si>
  <si>
    <t>http://zfin.org/ZDB-GENE-050506-24</t>
  </si>
  <si>
    <t>http://zfin.org/ZDB-GENE-040808-35</t>
  </si>
  <si>
    <t>deoxyribonuclease 1 like 4, tandem duplicate 1 [Source:ZFIN;Acc:ZDB-GENE-040808-35]</t>
  </si>
  <si>
    <t>dnase1l4.1</t>
  </si>
  <si>
    <t>http://zfin.org/ZDB-GENE-071004-24</t>
  </si>
  <si>
    <t>http://zfin.org/ZDB-GENE-070327-2</t>
  </si>
  <si>
    <t>http://zfin.org/ZDB-GENE-030131-2602</t>
  </si>
  <si>
    <t>http://zfin.org/ZDB-GENE-030131-8681</t>
  </si>
  <si>
    <t>http://zfin.org/ZDB-GENE-010328-8</t>
  </si>
  <si>
    <t>http://zfin.org/ZDB-GENE-040426-2315</t>
  </si>
  <si>
    <t>hairy and enhancer of split-related 15, tandem duplicate 1 [Source:NCBI gene;Acc:359836]</t>
  </si>
  <si>
    <t>http://zfin.org/ZDB-GENE-040912-122</t>
  </si>
  <si>
    <t>http://zfin.org/ZDB-GENE-040426-2321</t>
  </si>
  <si>
    <t>http://zfin.org/ZDB-GENE-030131-247</t>
  </si>
  <si>
    <t>http://zfin.org/ZDB-GENE-051030-81</t>
  </si>
  <si>
    <t>http://zfin.org/ZDB-GENE-121214-253</t>
  </si>
  <si>
    <t>http://zfin.org/ZDB-GENE-030805-3</t>
  </si>
  <si>
    <t>http://zfin.org/ZDB-GENE-080220-29</t>
  </si>
  <si>
    <t>http://zfin.org/ZDB-GENE-060526-265</t>
  </si>
  <si>
    <t>http://zfin.org/ZDB-GENE-080130-2</t>
  </si>
  <si>
    <t>http://zfin.org/ZDB-GENE-040310-2</t>
  </si>
  <si>
    <t>http://zfin.org/ZDB-GENE-040426-1473</t>
  </si>
  <si>
    <t>http://zfin.org/ZDB-GENE-131127-224</t>
  </si>
  <si>
    <t>http://zfin.org/ZDB-GENE-050417-380</t>
  </si>
  <si>
    <t>ODF3L2 (1 of many)</t>
  </si>
  <si>
    <t>http://zfin.org/ZDB-GENE-160114-52</t>
  </si>
  <si>
    <t>http://zfin.org/ZDB-GENE-030131-7787</t>
  </si>
  <si>
    <t>http://zfin.org/ZDB-GENE-020910-1</t>
  </si>
  <si>
    <t>http://zfin.org/ZDB-GENE-060929-368</t>
  </si>
  <si>
    <t>http://zfin.org/ZDB-GENE-040822-31</t>
  </si>
  <si>
    <t>http://zfin.org/ZDB-GENE-131121-428</t>
  </si>
  <si>
    <t>http://zfin.org/ZDB-GENE-000511-7</t>
  </si>
  <si>
    <t>http://zfin.org/ZDB-GENE-061027-74</t>
  </si>
  <si>
    <t>http://zfin.org/ZDB-GENE-170331-1</t>
  </si>
  <si>
    <t>expressed sequence EH456644 [Source:ZFIN;Acc:ZDB-GENE-170331-1]</t>
  </si>
  <si>
    <t>gb:eh456644</t>
  </si>
  <si>
    <t>http://zfin.org/ZDB-GENE-980526-280</t>
  </si>
  <si>
    <t>http://zfin.org/ZDB-GENE-121214-339</t>
  </si>
  <si>
    <t>http://zfin.org/ZDB-GENE-050522-319</t>
  </si>
  <si>
    <t>http://zfin.org/ZDB-GENE-060503-559</t>
  </si>
  <si>
    <t>si:dkeyp-46h3.1 [Source:ZFIN;Acc:ZDB-GENE-060503-559]</t>
  </si>
  <si>
    <t>ENSDARG00000074049</t>
  </si>
  <si>
    <t>http://zfin.org/ZDB-GENE-090313-35</t>
  </si>
  <si>
    <t>http://zfin.org/ZDB-GENE-081105-176</t>
  </si>
  <si>
    <t>http://zfin.org/ZDB-GENE-160113-73</t>
  </si>
  <si>
    <t>http://zfin.org/ZDB-GENE-001212-5</t>
  </si>
  <si>
    <t>http://zfin.org/ZDB-GENE-030131-9116</t>
  </si>
  <si>
    <t>ENSDARG00000005185</t>
  </si>
  <si>
    <t>http://zfin.org/ZDB-GENE-081028-55</t>
  </si>
  <si>
    <t>http://zfin.org/ZDB-GENE-080722-16</t>
  </si>
  <si>
    <t>zgc:194125 [Source:ZFIN;Acc:ZDB-GENE-080722-16]</t>
  </si>
  <si>
    <t>zgc:194125</t>
  </si>
  <si>
    <t>http://zfin.org/ZDB-GENE-040912-60</t>
  </si>
  <si>
    <t>http://zfin.org/ZDB-GENE-030131-9170</t>
  </si>
  <si>
    <t>http://zfin.org/ZDB-GENE-030821-1</t>
  </si>
  <si>
    <t>http://zfin.org/ZDB-GENE-131127-65</t>
  </si>
  <si>
    <t>http://zfin.org/ZDB-GENE-041010-45</t>
  </si>
  <si>
    <t>http://zfin.org/ZDB-GENE-040426-2151</t>
  </si>
  <si>
    <t>http://zfin.org/ZDB-GENE-121005-1</t>
  </si>
  <si>
    <t>http://zfin.org/ZDB-GENE-080723-23</t>
  </si>
  <si>
    <t>http://zfin.org/ZDB-GENE-030804-7</t>
  </si>
  <si>
    <t>http://zfin.org/ZDB-GENE-110411-215</t>
  </si>
  <si>
    <t>http://zfin.org/ZDB-GENE-030804-2</t>
  </si>
  <si>
    <t>CU855484.1</t>
  </si>
  <si>
    <t>http://zfin.org/ZDB-GENE-081022-9</t>
  </si>
  <si>
    <t>http://zfin.org/ZDB-GENE-071004-57</t>
  </si>
  <si>
    <t>http://zfin.org/ZDB-GENE-131127-474</t>
  </si>
  <si>
    <t>http://zfin.org/ZDB-GENE-081104-178</t>
  </si>
  <si>
    <t>http://zfin.org/ZDB-GENE-050220-7</t>
  </si>
  <si>
    <t>http://zfin.org/ZDB-GENE-030131-7447</t>
  </si>
  <si>
    <t>http://zfin.org/ZDB-GENE-030131-8541</t>
  </si>
  <si>
    <t>http://zfin.org/ZDB-GENE-050522-218</t>
  </si>
  <si>
    <t>reprimo, TP53 dependent G2 arrest mediator candidate a [Source:ZFIN;Acc:ZDB-GENE-050522-218]</t>
  </si>
  <si>
    <t>rprma</t>
  </si>
  <si>
    <t>ENSDARG00000053383</t>
  </si>
  <si>
    <t>http://zfin.org/ZDB-GENE-040718-336</t>
  </si>
  <si>
    <t>http://zfin.org/ZDB-GENE-040426-2936</t>
  </si>
  <si>
    <t>http://zfin.org/ZDB-GENE-070410-90</t>
  </si>
  <si>
    <t>wu:fj16a03 [Source:NCBI gene;Acc:335475]</t>
  </si>
  <si>
    <t>http://zfin.org/ZDB-GENE-070112-972</t>
  </si>
  <si>
    <t>http://zfin.org/ZDB-GENE-050309-14</t>
  </si>
  <si>
    <t>http://zfin.org/ZDB-GENE-040426-2542</t>
  </si>
  <si>
    <t>http://zfin.org/ZDB-GENE-090313-53</t>
  </si>
  <si>
    <t>http://zfin.org/ZDB-GENE-030723-2</t>
  </si>
  <si>
    <t>http://zfin.org/ZDB-GENE-030131-3133</t>
  </si>
  <si>
    <t>http://zfin.org/ZDB-GENE-030131-7540</t>
  </si>
  <si>
    <t>zgc:198419 [Source:ZFIN;Acc:ZDB-GENE-030131-7540]</t>
  </si>
  <si>
    <t>zgc:198419</t>
  </si>
  <si>
    <t>ENSDARG00000076221</t>
  </si>
  <si>
    <t>http://zfin.org/ZDB-GENE-040426-1903</t>
  </si>
  <si>
    <t>http://zfin.org/ZDB-GENE-050208-657</t>
  </si>
  <si>
    <t>http://zfin.org/ZDB-GENE-041210-60</t>
  </si>
  <si>
    <t>http://zfin.org/ZDB-GENE-030131-8542</t>
  </si>
  <si>
    <t>http://zfin.org/ZDB-GENE-040426-687</t>
  </si>
  <si>
    <t>http://zfin.org/ZDB-GENE-131121-219</t>
  </si>
  <si>
    <t>http://zfin.org/ZDB-GENE-040317-1</t>
  </si>
  <si>
    <t>http://zfin.org/ZDB-GENE-040319-2</t>
  </si>
  <si>
    <t>http://zfin.org/ZDB-GENE-000412-1</t>
  </si>
  <si>
    <t>http://zfin.org/ZDB-GENE-030131-6136</t>
  </si>
  <si>
    <t>AL954359.1</t>
  </si>
  <si>
    <t>http://zfin.org/ZDB-GENE-070209-295</t>
  </si>
  <si>
    <t>http://zfin.org/ZDB-GENE-060825-242</t>
  </si>
  <si>
    <t>http://zfin.org/ZDB-GENE-031222-5</t>
  </si>
  <si>
    <t>http://zfin.org/ZDB-GENE-031201-4</t>
  </si>
  <si>
    <t>http://zfin.org/ZDB-GENE-070705-179</t>
  </si>
  <si>
    <t>http://zfin.org/ZDB-GENE-070912-397</t>
  </si>
  <si>
    <t>http://zfin.org/ZDB-GENE-040426-706</t>
  </si>
  <si>
    <t>hypoxia inducible factor 1, alpha subunit (basic helix-loop-helix transcription factor) b [Source:ZFIN;Acc:ZDB-GENE-040426-706]</t>
  </si>
  <si>
    <t>hif1ab</t>
  </si>
  <si>
    <t>ENSDARG00000034293</t>
  </si>
  <si>
    <t>http://zfin.org/ZDB-GENE-070209-41</t>
  </si>
  <si>
    <t>family with sequence similarity 166, member B [Source:ZFIN;Acc:ZDB-GENE-070209-41]</t>
  </si>
  <si>
    <t>fam166b</t>
  </si>
  <si>
    <t>ENSDARG00000100292</t>
  </si>
  <si>
    <t>http://zfin.org/ZDB-GENE-131105-1</t>
  </si>
  <si>
    <t>radial spoke head 1 homolog [Source:HGNC Symbol;Acc:HGNC:12371]</t>
  </si>
  <si>
    <t>CU694952.1</t>
  </si>
  <si>
    <t>ENSDARG00000099405</t>
  </si>
  <si>
    <t>http://zfin.org/ZDB-GENE-050320-11</t>
  </si>
  <si>
    <t>http://zfin.org/ZDB-GENE-070615-27</t>
  </si>
  <si>
    <t>zgc:165573 [Source:ZFIN;Acc:ZDB-GENE-070615-27]</t>
  </si>
  <si>
    <t>CYSTM1 (1 of many)</t>
  </si>
  <si>
    <t>ENSDARG00000102482</t>
  </si>
  <si>
    <t>http://zfin.org/ZDB-GENE-030131-7806</t>
  </si>
  <si>
    <t>http://zfin.org/ZDB-GENE-091204-322</t>
  </si>
  <si>
    <t>http://zfin.org/ZDB-GENE-060526-280</t>
  </si>
  <si>
    <t>transmembrane channel-like 2a [Source:ZFIN;Acc:ZDB-GENE-060526-280]</t>
  </si>
  <si>
    <t>tmc2a</t>
  </si>
  <si>
    <t>ENSDARG00000033104</t>
  </si>
  <si>
    <t>http://zfin.org/ZDB-GENE-050417-153</t>
  </si>
  <si>
    <t>http://zfin.org/ZDB-GENE-060526-175</t>
  </si>
  <si>
    <t>http://zfin.org/ZDB-GENE-031118-20</t>
  </si>
  <si>
    <t>http://zfin.org/ZDB-GENE-050417-212</t>
  </si>
  <si>
    <t>BarH-like homeobox 1a [Source:ZFIN;Acc:ZDB-GENE-050417-212]</t>
  </si>
  <si>
    <t>barhl1a</t>
  </si>
  <si>
    <t>ENSDARG00000035508</t>
  </si>
  <si>
    <t>http://zfin.org/ZDB-GENE-030131-5606</t>
  </si>
  <si>
    <t>http://zfin.org/ZDB-GENE-030131-3027</t>
  </si>
  <si>
    <t>http://zfin.org/ZDB-GENE-040718-72</t>
  </si>
  <si>
    <t>http://zfin.org/ZDB-GENE-060929-1178</t>
  </si>
  <si>
    <t>http://zfin.org/ZDB-GENE-030428-2</t>
  </si>
  <si>
    <t>http://zfin.org/ZDB-GENE-031030-4</t>
  </si>
  <si>
    <t>transducer of ERBB2, 1a [Source:ZFIN;Acc:ZDB-GENE-031030-4]</t>
  </si>
  <si>
    <t>tob1a</t>
  </si>
  <si>
    <t>ENSDARG00000032619</t>
  </si>
  <si>
    <t>http://zfin.org/ZDB-GENE-030131-5673</t>
  </si>
  <si>
    <t>http://zfin.org/ZDB-GENE-040426-2737</t>
  </si>
  <si>
    <t>http://zfin.org/ZDB-GENE-040426-2503</t>
  </si>
  <si>
    <t>ethylmalonic encephalopathy 1 [Source:ZFIN;Acc:ZDB-GENE-040426-2503]</t>
  </si>
  <si>
    <t>ethe1</t>
  </si>
  <si>
    <t>ENSDARG00000005713</t>
  </si>
  <si>
    <t>http://zfin.org/ZDB-GENE-111229-2</t>
  </si>
  <si>
    <t>http://zfin.org/ZDB-GENE-060312-34</t>
  </si>
  <si>
    <t>Kruppel-like factor 5 like [Source:ZFIN;Acc:ZDB-GENE-060312-34]</t>
  </si>
  <si>
    <t>klf5l</t>
  </si>
  <si>
    <t>http://zfin.org/ZDB-GENE-091113-18</t>
  </si>
  <si>
    <t>http://zfin.org/ZDB-GENE-020513-2</t>
  </si>
  <si>
    <t>http://zfin.org/ZDB-GENE-030410-5</t>
  </si>
  <si>
    <t>http://zfin.org/ZDB-GENE-030131-3065</t>
  </si>
  <si>
    <t>http://zfin.org/ZDB-GENE-021016-1</t>
  </si>
  <si>
    <t>http://zfin.org/ZDB-GENE-050413-1</t>
  </si>
  <si>
    <t>http://zfin.org/ZDB-GENE-030131-7859</t>
  </si>
  <si>
    <t>http://zfin.org/ZDB-GENE-041014-339</t>
  </si>
  <si>
    <t>http://zfin.org/ZDB-GENE-160114-87</t>
  </si>
  <si>
    <t>http://zfin.org/ZDB-GENE-080722-2</t>
  </si>
  <si>
    <t>http://zfin.org/ZDB-GENE-060929-998</t>
  </si>
  <si>
    <t>http://zfin.org/ZDB-GENE-061013-189</t>
  </si>
  <si>
    <t>cystatin 14b, tandem duplicate 1 [Source:ZFIN;Acc:ZDB-GENE-061013-189]</t>
  </si>
  <si>
    <t>cst14b.1</t>
  </si>
  <si>
    <t>ENSDARG00000045980</t>
  </si>
  <si>
    <t>http://zfin.org/ZDB-GENE-030131-5215</t>
  </si>
  <si>
    <t>http://zfin.org/ZDB-GENE-050417-327</t>
  </si>
  <si>
    <t>http://zfin.org/ZDB-GENE-061016-1</t>
  </si>
  <si>
    <t>ATPase, Ca++ transporting, plasma membrane 2 [Source:ZFIN;Acc:ZDB-GENE-061016-1]</t>
  </si>
  <si>
    <t>atp2b2</t>
  </si>
  <si>
    <t>ENSDARG00000063433</t>
  </si>
  <si>
    <t>http://zfin.org/ZDB-GENE-040426-1962</t>
  </si>
  <si>
    <t>NADH dehydrogenase (ubiquinone) 1 alpha subcomplex, 4 [Source:ZFIN;Acc:ZDB-GENE-040426-1962]</t>
  </si>
  <si>
    <t>ndufa4</t>
  </si>
  <si>
    <t>ENSDARG00000056108</t>
  </si>
  <si>
    <t>http://zfin.org/ZDB-GENE-131127-627</t>
  </si>
  <si>
    <t>http://zfin.org/ZDB-GENE-020416-4</t>
  </si>
  <si>
    <t>triosephosphate isomerase 1b [Source:ZFIN;Acc:ZDB-GENE-020416-4]</t>
  </si>
  <si>
    <t>tpi1b</t>
  </si>
  <si>
    <t>ENSDARG00000040988</t>
  </si>
  <si>
    <t>http://zfin.org/ZDB-GENE-040426-1720</t>
  </si>
  <si>
    <t>http://zfin.org/ZDB-GENE-040426-2152</t>
  </si>
  <si>
    <t>http://zfin.org/ZDB-GENE-020416-3</t>
  </si>
  <si>
    <t>triosephosphate isomerase 1a [Source:ZFIN;Acc:ZDB-GENE-020416-3]</t>
  </si>
  <si>
    <t>tpi1a</t>
  </si>
  <si>
    <t>ENSDARG00000025012</t>
  </si>
  <si>
    <t>http://zfin.org/ZDB-GENE-070202-9</t>
  </si>
  <si>
    <t>potassium large conductance calcium-activated channel, subfamily M, alpha member 1a [Source:ZFIN;Acc:ZDB-GENE-070202-9]</t>
  </si>
  <si>
    <t>kcnma1a</t>
  </si>
  <si>
    <t>ENSDARG00000079840</t>
  </si>
  <si>
    <t>http://zfin.org/ZDB-GENE-040718-425</t>
  </si>
  <si>
    <t>http://zfin.org/ZDB-GENE-131121-486</t>
  </si>
  <si>
    <t>http://zfin.org/ZDB-GENE-080225-26</t>
  </si>
  <si>
    <t>phospholipid phosphatase 1a [Source:ZFIN;Acc:ZDB-GENE-080225-26]</t>
  </si>
  <si>
    <t>plpp1a</t>
  </si>
  <si>
    <t>ENSDARG00000053381</t>
  </si>
  <si>
    <t>http://zfin.org/ZDB-GENE-070620-18</t>
  </si>
  <si>
    <t>stomatin (EPB72)-like 3a [Source:ZFIN;Acc:ZDB-GENE-070620-18]</t>
  </si>
  <si>
    <t>stoml3a</t>
  </si>
  <si>
    <t>ENSDARG00000079914</t>
  </si>
  <si>
    <t>http://zfin.org/ZDB-GENE-060526-21</t>
  </si>
  <si>
    <t>polypeptide N-acetylgalactosaminyltransferase 9 [Source:ZFIN;Acc:ZDB-GENE-060526-21]</t>
  </si>
  <si>
    <t>galnt9</t>
  </si>
  <si>
    <t>ENSDARG00000006832</t>
  </si>
  <si>
    <t>http://zfin.org/ZDB-GENE-120215-229</t>
  </si>
  <si>
    <t>si:dkeyp-72e1.7 [Source:ZFIN;Acc:ZDB-GENE-120215-229]</t>
  </si>
  <si>
    <t>MPV17L</t>
  </si>
  <si>
    <t>ENSDARG00000104457</t>
  </si>
  <si>
    <t>http://zfin.org/ZDB-GENE-120411-6</t>
  </si>
  <si>
    <t>si:dkey-202l16.5 [Source:ZFIN;Acc:ZDB-GENE-120411-6]</t>
  </si>
  <si>
    <t>si:dkey-202l16.5</t>
  </si>
  <si>
    <t>ENSDARG00000013252</t>
  </si>
  <si>
    <t>http://zfin.org/ZDB-GENE-040426-1740</t>
  </si>
  <si>
    <t>CR318588.3</t>
  </si>
  <si>
    <t>ENSDARG00000094719</t>
  </si>
  <si>
    <t>http://zfin.org/ZDB-GENE-090313-227</t>
  </si>
  <si>
    <t>si:dkey-205h13.1 [Source:ZFIN;Acc:ZDB-GENE-090313-227]</t>
  </si>
  <si>
    <t>TMEM269</t>
  </si>
  <si>
    <t>ENSDARG00000079307</t>
  </si>
  <si>
    <t>http://zfin.org/ZDB-GENE-041010-133</t>
  </si>
  <si>
    <t>ATPase, H+ transporting, lysosomal V0 subunit e1 [Source:ZFIN;Acc:ZDB-GENE-041010-133]</t>
  </si>
  <si>
    <t>atp6v0e1</t>
  </si>
  <si>
    <t>ENSDARG00000101794</t>
  </si>
  <si>
    <t>http://zfin.org/ZDB-GENE-050302-97</t>
  </si>
  <si>
    <t>protein kinase (cAMP-dependent, catalytic) inhibitor gamma [Source:ZFIN;Acc:ZDB-GENE-050302-97]</t>
  </si>
  <si>
    <t>pkig</t>
  </si>
  <si>
    <t>ENSDARG00000086471</t>
  </si>
  <si>
    <t>http://zfin.org/ZDB-GENE-030131-6098</t>
  </si>
  <si>
    <t>family with sequence similarity 43, member A [Source:ZFIN;Acc:ZDB-GENE-030131-6098]</t>
  </si>
  <si>
    <t>fam43a</t>
  </si>
  <si>
    <t>ENSDARG00000043009</t>
  </si>
  <si>
    <t>AL954359.2</t>
  </si>
  <si>
    <t>http://zfin.org/ZDB-GENE-000210-34</t>
  </si>
  <si>
    <t>NME/NM23 nucleoside diphosphate kinase 3 [Source:ZFIN;Acc:ZDB-GENE-000210-34]</t>
  </si>
  <si>
    <t>nme3</t>
  </si>
  <si>
    <t>ENSDARG00000100990</t>
  </si>
  <si>
    <t>http://zfin.org/ZDB-GENE-040426-1960</t>
  </si>
  <si>
    <t>ATPase, H+ transporting, lysosomal accessory protein 2 [Source:ZFIN;Acc:ZDB-GENE-040426-1960]</t>
  </si>
  <si>
    <t>atp6ap2</t>
  </si>
  <si>
    <t>ENSDARG00000008735</t>
  </si>
  <si>
    <t>http://zfin.org/ZDB-GENE-001127-3</t>
  </si>
  <si>
    <t>http://zfin.org/ZDB-GENE-090311-19</t>
  </si>
  <si>
    <t>LPS-responsive vesicle trafficking, beach and anchor containing [Source:ZFIN;Acc:ZDB-GENE-090311-19]</t>
  </si>
  <si>
    <t>lrba</t>
  </si>
  <si>
    <t>ENSDARG00000031108</t>
  </si>
  <si>
    <t>http://zfin.org/ZDB-GENE-030131-8410</t>
  </si>
  <si>
    <t>trk-fused gene [Source:ZFIN;Acc:ZDB-GENE-030131-8410]</t>
  </si>
  <si>
    <t>tfg</t>
  </si>
  <si>
    <t>ENSDARG00000003641</t>
  </si>
  <si>
    <t>http://zfin.org/ZDB-GENE-040426-2136</t>
  </si>
  <si>
    <t>beta-2-microglobulin, like [Source:ZFIN;Acc:ZDB-GENE-040426-2136]</t>
  </si>
  <si>
    <t>b2ml</t>
  </si>
  <si>
    <t>ENSDARG00000015887</t>
  </si>
  <si>
    <t>http://zfin.org/ZDB-GENE-040426-1650</t>
  </si>
  <si>
    <t>basic transcription factor 3-like 4 [Source:ZFIN;Acc:ZDB-GENE-040426-1650]</t>
  </si>
  <si>
    <t>btf3l4</t>
  </si>
  <si>
    <t>ENSDARG00000089681</t>
  </si>
  <si>
    <t>http://zfin.org/ZDB-GENE-050522-238</t>
  </si>
  <si>
    <t>http://zfin.org/ZDB-GENE-040426-2653</t>
  </si>
  <si>
    <t>http://zfin.org/ZDB-GENE-091118-80</t>
  </si>
  <si>
    <t>glycolipid transfer protein b [Source:ZFIN;Acc:ZDB-GENE-091118-80]</t>
  </si>
  <si>
    <t>gltpb</t>
  </si>
  <si>
    <t>ENSDARG00000077962</t>
  </si>
  <si>
    <t>http://zfin.org/ZDB-GENE-040122-4</t>
  </si>
  <si>
    <t>ADP-ribosylation factor 2a [Source:ZFIN;Acc:ZDB-GENE-040122-4]</t>
  </si>
  <si>
    <t>arf2a</t>
  </si>
  <si>
    <t>ENSDARG00000014763</t>
  </si>
  <si>
    <t>http://zfin.org/ZDB-GENE-081104-370</t>
  </si>
  <si>
    <t>lipoxygenase homology domains 1b [Source:ZFIN;Acc:ZDB-GENE-081104-370]</t>
  </si>
  <si>
    <t>loxhd1b</t>
  </si>
  <si>
    <t>ENSDARG00000074638</t>
  </si>
  <si>
    <t>http://zfin.org/ZDB-GENE-020419-11</t>
  </si>
  <si>
    <t>ATPase, H+ transporting, lysosomal, V1 subunit E1b [Source:ZFIN;Acc:ZDB-GENE-020419-11]</t>
  </si>
  <si>
    <t>atp6v1e1b</t>
  </si>
  <si>
    <t>ENSDARG00000030694</t>
  </si>
  <si>
    <t>http://zfin.org/ZDB-GENE-030131-2818</t>
  </si>
  <si>
    <t>CD82 molecule a [Source:ZFIN;Acc:ZDB-GENE-030131-2818]</t>
  </si>
  <si>
    <t>cd82a</t>
  </si>
  <si>
    <t>ENSDARG00000019098</t>
  </si>
  <si>
    <t>http://zfin.org/ZDB-GENE-040718-94</t>
  </si>
  <si>
    <t>mitochondrial pyruvate carrier 1 [Source:ZFIN;Acc:ZDB-GENE-040718-94]</t>
  </si>
  <si>
    <t>mpc1</t>
  </si>
  <si>
    <t>ENSDARG00000093448</t>
  </si>
  <si>
    <t>http://zfin.org/ZDB-GENE-040426-754</t>
  </si>
  <si>
    <t>pleckstrin homology domain containing, family B (evectins) member 2 [Source:ZFIN;Acc:ZDB-GENE-040426-754]</t>
  </si>
  <si>
    <t>plekhb2</t>
  </si>
  <si>
    <t>ENSDARG00000013928</t>
  </si>
  <si>
    <t>http://zfin.org/ZDB-GENE-040108-10</t>
  </si>
  <si>
    <t>BAI1-associated protein 2-like 2a [Source:ZFIN;Acc:ZDB-GENE-040108-10]</t>
  </si>
  <si>
    <t>baiap2l2a</t>
  </si>
  <si>
    <t>ENSDARG00000016483</t>
  </si>
  <si>
    <t>http://zfin.org/ZDB-GENE-030131-760</t>
  </si>
  <si>
    <t>inositol hexakisphosphate kinase 2a [Source:ZFIN;Acc:ZDB-GENE-030131-760]</t>
  </si>
  <si>
    <t>ip6k2a</t>
  </si>
  <si>
    <t>ENSDARG00000008310</t>
  </si>
  <si>
    <t>http://zfin.org/ZDB-GENE-060608-2</t>
  </si>
  <si>
    <t>solute carrier family 30, member 10 [Source:ZFIN;Acc:ZDB-GENE-060608-2]</t>
  </si>
  <si>
    <t>slc30a10</t>
  </si>
  <si>
    <t>ENSDARG00000103983</t>
  </si>
  <si>
    <t>http://zfin.org/ZDB-GENE-040426-1971</t>
  </si>
  <si>
    <t>organic solute carrier partner 1 [Source:HGNC Symbol;Acc:HGNC:29971]</t>
  </si>
  <si>
    <t>OSCP1 (1 of many)</t>
  </si>
  <si>
    <t>ENSDARG00000101888</t>
  </si>
  <si>
    <t>http://zfin.org/ZDB-GENE-041114-100</t>
  </si>
  <si>
    <t>http://zfin.org/ZDB-GENE-040718-223</t>
  </si>
  <si>
    <t>ADP-ribosylation factor-like 6 interacting protein 5b [Source:ZFIN;Acc:ZDB-GENE-040718-223]</t>
  </si>
  <si>
    <t>arl6ip5b</t>
  </si>
  <si>
    <t>ENSDARG00000016238</t>
  </si>
  <si>
    <t>http://zfin.org/ZDB-GENE-100913-3</t>
  </si>
  <si>
    <t>http://zfin.org/ZDB-GENE-040912-149</t>
  </si>
  <si>
    <t>http://zfin.org/ZDB-GENE-050522-530</t>
  </si>
  <si>
    <t>http://zfin.org/ZDB-GENE-040711-4</t>
  </si>
  <si>
    <t>putative homeodomain transcription factor 2 [Source:ZFIN;Acc:ZDB-GENE-040711-4]</t>
  </si>
  <si>
    <t>phtf2</t>
  </si>
  <si>
    <t>ENSDARG00000102123</t>
  </si>
  <si>
    <t>http://zfin.org/ZDB-GENE-030131-2193</t>
  </si>
  <si>
    <t>http://zfin.org/ZDB-GENE-150416-1</t>
  </si>
  <si>
    <t>http://zfin.org/ZDB-GENE-060526-106</t>
  </si>
  <si>
    <t>cilia and flagella associated protein 77 [Source:ZFIN;Acc:ZDB-GENE-060526-106]</t>
  </si>
  <si>
    <t>cfap77</t>
  </si>
  <si>
    <t>ENSDARG00000068122</t>
  </si>
  <si>
    <t>CR847939.1</t>
  </si>
  <si>
    <t>ENSDARG00000100639</t>
  </si>
  <si>
    <t>http://zfin.org/ZDB-GENE-020806-4</t>
  </si>
  <si>
    <t>http://zfin.org/ZDB-GENE-070820-17</t>
  </si>
  <si>
    <t>http://zfin.org/ZDB-GENE-030131-2299</t>
  </si>
  <si>
    <t>clathrin, heavy chain a (Hc) [Source:ZFIN;Acc:ZDB-GENE-030131-2299]</t>
  </si>
  <si>
    <t>cltca</t>
  </si>
  <si>
    <t>ENSDARG00000043493</t>
  </si>
  <si>
    <t>http://zfin.org/ZDB-GENE-050522-135</t>
  </si>
  <si>
    <t>ATPase, H+ transporting V0 subunit e2 [Source:ZFIN;Acc:ZDB-GENE-050522-135]</t>
  </si>
  <si>
    <t>atpv0e2</t>
  </si>
  <si>
    <t>ENSDARG00000059057</t>
  </si>
  <si>
    <t>family with sequence similarity 19 member A2, C-C motif chemokine like [Source:HGNC Symbol;Acc:HGNC:21589]</t>
  </si>
  <si>
    <t>FAM19A2</t>
  </si>
  <si>
    <t>ENSDARG00000099464</t>
  </si>
  <si>
    <t>http://zfin.org/ZDB-GENE-030131-5007</t>
  </si>
  <si>
    <t>coiled-coil domain containing 28A [Source:ZFIN;Acc:ZDB-GENE-030131-5007]</t>
  </si>
  <si>
    <t>ccdc28a</t>
  </si>
  <si>
    <t>ENSDARG00000022983</t>
  </si>
  <si>
    <t>http://zfin.org/ZDB-GENE-040426-2166</t>
  </si>
  <si>
    <t>myotrophin [Source:ZFIN;Acc:ZDB-GENE-040426-2166]</t>
  </si>
  <si>
    <t>mtpn</t>
  </si>
  <si>
    <t>ENSDARG00000104018</t>
  </si>
  <si>
    <t>http://zfin.org/ZDB-GENE-060526-262</t>
  </si>
  <si>
    <t>http://zfin.org/ZDB-GENE-070705-255</t>
  </si>
  <si>
    <t>http://zfin.org/ZDB-GENE-110406-5</t>
  </si>
  <si>
    <t>http://zfin.org/ZDB-GENE-070410-98</t>
  </si>
  <si>
    <t>http://zfin.org/ZDB-GENE-040718-28</t>
  </si>
  <si>
    <t>ADP-ribosylation factor-like 5A [Source:ZFIN;Acc:ZDB-GENE-040718-28]</t>
  </si>
  <si>
    <t>arl5a</t>
  </si>
  <si>
    <t>ENSDARG00000018627</t>
  </si>
  <si>
    <t>http://zfin.org/ZDB-GENE-040801-136</t>
  </si>
  <si>
    <t>NIMA-related kinase 7 [Source:ZFIN;Acc:ZDB-GENE-040801-136]</t>
  </si>
  <si>
    <t>nek7</t>
  </si>
  <si>
    <t>ENSDARG00000056966</t>
  </si>
  <si>
    <t>http://zfin.org/ZDB-GENE-060306-2</t>
  </si>
  <si>
    <t>RAR-related orphan receptor A, paralog a [Source:ZFIN;Acc:ZDB-GENE-060306-2]</t>
  </si>
  <si>
    <t>roraa</t>
  </si>
  <si>
    <t>ENSDARG00000031768</t>
  </si>
  <si>
    <t>http://zfin.org/ZDB-GENE-090312-63</t>
  </si>
  <si>
    <t>cholinergic receptor, nicotinic, alpha 9 [Source:ZFIN;Acc:ZDB-GENE-090312-63]</t>
  </si>
  <si>
    <t>chrna9</t>
  </si>
  <si>
    <t>ENSDARG00000054680</t>
  </si>
  <si>
    <t>http://zfin.org/ZDB-GENE-060929-780</t>
  </si>
  <si>
    <t>enolase superfamily member 1 [Source:ZFIN;Acc:ZDB-GENE-060929-780]</t>
  </si>
  <si>
    <t>enosf1</t>
  </si>
  <si>
    <t>ENSDARG00000038359</t>
  </si>
  <si>
    <t>http://zfin.org/ZDB-GENE-081104-299</t>
  </si>
  <si>
    <t>protocadherin 7b [Source:ZFIN;Acc:ZDB-GENE-081104-299]</t>
  </si>
  <si>
    <t>pcdh7b</t>
  </si>
  <si>
    <t>ENSDARG00000060610</t>
  </si>
  <si>
    <t>http://zfin.org/ZDB-GENE-050208-447</t>
  </si>
  <si>
    <t>si:dkeyp-72h1.1 [Source:ZFIN;Acc:ZDB-GENE-050208-447]</t>
  </si>
  <si>
    <t>si:dkeyp-72h1.1</t>
  </si>
  <si>
    <t>ENSDARG00000095347</t>
  </si>
  <si>
    <t>http://zfin.org/ZDB-GENE-070912-70</t>
  </si>
  <si>
    <t>http://zfin.org/ZDB-GENE-110609-2</t>
  </si>
  <si>
    <t>glial cell derived neurotrophic factor b [Source:ZFIN;Acc:ZDB-GENE-110609-2]</t>
  </si>
  <si>
    <t>gdnfb</t>
  </si>
  <si>
    <t>ENSDARG00000103764</t>
  </si>
  <si>
    <t>http://zfin.org/ZDB-GENE-060531-6</t>
  </si>
  <si>
    <t>capping protein (actin filament), gelsolin-like a [Source:ZFIN;Acc:ZDB-GENE-060531-6]</t>
  </si>
  <si>
    <t>capga</t>
  </si>
  <si>
    <t>ENSDARG00000035560</t>
  </si>
  <si>
    <t>http://zfin.org/ZDB-GENE-060825-160</t>
  </si>
  <si>
    <t>ribonuclease, RNase K b [Source:ZFIN;Acc:ZDB-GENE-060825-160]</t>
  </si>
  <si>
    <t>rnasekb</t>
  </si>
  <si>
    <t>ENSDARG00000104458</t>
  </si>
  <si>
    <t>http://zfin.org/ZDB-GENE-080219-7</t>
  </si>
  <si>
    <t>HtrA serine peptidase 1b [Source:ZFIN;Acc:ZDB-GENE-080219-7]</t>
  </si>
  <si>
    <t>htra1b</t>
  </si>
  <si>
    <t>ENSDARG00000014907</t>
  </si>
  <si>
    <t>http://zfin.org/ZDB-GENE-030616-5</t>
  </si>
  <si>
    <t>WD repeat domain 75 [Source:ZFIN;Acc:ZDB-GENE-030616-5]</t>
  </si>
  <si>
    <t>wdr75</t>
  </si>
  <si>
    <t>ENSDARG00000040730</t>
  </si>
  <si>
    <t>http://zfin.org/ZDB-GENE-991026-5</t>
  </si>
  <si>
    <t>lactate dehydrogenase A4 [Source:ZFIN;Acc:ZDB-GENE-991026-5]</t>
  </si>
  <si>
    <t>ldha</t>
  </si>
  <si>
    <t>ENSDARG00000101251</t>
  </si>
  <si>
    <t>http://zfin.org/ZDB-GENE-050809-90</t>
  </si>
  <si>
    <t>si:dkeyp-67f1.2 [Source:ZFIN;Acc:ZDB-GENE-050809-90]</t>
  </si>
  <si>
    <t>si:dkeyp-67f1.2</t>
  </si>
  <si>
    <t>ENSDARG00000091625</t>
  </si>
  <si>
    <t>http://zfin.org/ZDB-GENE-040426-1087</t>
  </si>
  <si>
    <t>ADP-ribosylation factor-like 6 interacting protein 1 [Source:ZFIN;Acc:ZDB-GENE-040426-1087]</t>
  </si>
  <si>
    <t>arl6ip1</t>
  </si>
  <si>
    <t>ENSDARG00000054578</t>
  </si>
  <si>
    <t>http://zfin.org/ZDB-GENE-060503-339</t>
  </si>
  <si>
    <t>http://zfin.org/ZDB-GENE-020103-2</t>
  </si>
  <si>
    <t>creatine kinase, brain b [Source:ZFIN;Acc:ZDB-GENE-020103-2]</t>
  </si>
  <si>
    <t>ckbb</t>
  </si>
  <si>
    <t>ENSDARG00000043257</t>
  </si>
  <si>
    <t>http://zfin.org/ZDB-GENE-070705-485</t>
  </si>
  <si>
    <t>CUB domain containing protein 2 [Source:ZFIN;Acc:ZDB-GENE-070705-485]</t>
  </si>
  <si>
    <t>cdcp2</t>
  </si>
  <si>
    <t>ENSDARG00000075866</t>
  </si>
  <si>
    <t>http://zfin.org/ZDB-GENE-050522-174</t>
  </si>
  <si>
    <t>glyoxalase domain containing 5 [Source:ZFIN;Acc:ZDB-GENE-050522-174]</t>
  </si>
  <si>
    <t>glod5</t>
  </si>
  <si>
    <t>ENSDARG00000071871</t>
  </si>
  <si>
    <t>http://zfin.org/ZDB-GENE-030131-7626</t>
  </si>
  <si>
    <t>http://zfin.org/ZDB-GENE-070705-199</t>
  </si>
  <si>
    <t>si:ch73-103b9.2 [Source:ZFIN;Acc:ZDB-GENE-070705-199]</t>
  </si>
  <si>
    <t>si:ch73-103b9.2</t>
  </si>
  <si>
    <t>ENSDARG00000092489</t>
  </si>
  <si>
    <t>http://zfin.org/ZDB-GENE-061013-507</t>
  </si>
  <si>
    <t>zgc:153142 [Source:ZFIN;Acc:ZDB-GENE-061013-507]</t>
  </si>
  <si>
    <t>zgc:153142</t>
  </si>
  <si>
    <t>ENSDARG00000069363</t>
  </si>
  <si>
    <t>http://zfin.org/ZDB-GENE-040801-240</t>
  </si>
  <si>
    <t>ceramide-1-phosphate transfer protein [Source:ZFIN;Acc:ZDB-GENE-040801-240]</t>
  </si>
  <si>
    <t>cptp</t>
  </si>
  <si>
    <t>ENSDARG00000052537</t>
  </si>
  <si>
    <t>http://zfin.org/ZDB-GENE-040426-2574</t>
  </si>
  <si>
    <t>interferon regulatory factor 2 binding protein 2b [Source:ZFIN;Acc:ZDB-GENE-040426-2574]</t>
  </si>
  <si>
    <t>irf2bp2b</t>
  </si>
  <si>
    <t>ENSDARG00000098635</t>
  </si>
  <si>
    <t>http://zfin.org/ZDB-GENE-040426-833</t>
  </si>
  <si>
    <t>http://zfin.org/ZDB-GENE-040426-1040</t>
  </si>
  <si>
    <t>F-box protein 32 [Source:ZFIN;Acc:ZDB-GENE-040426-1040]</t>
  </si>
  <si>
    <t>fbxo32</t>
  </si>
  <si>
    <t>ENSDARG00000040277</t>
  </si>
  <si>
    <t>http://zfin.org/ZDB-GENE-050522-306</t>
  </si>
  <si>
    <t>spermatogenesis associated 18 [Source:ZFIN;Acc:ZDB-GENE-050522-306]</t>
  </si>
  <si>
    <t>spata18</t>
  </si>
  <si>
    <t>ENSDARG00000052343</t>
  </si>
  <si>
    <t>CR812481.1</t>
  </si>
  <si>
    <t>http://zfin.org/ZDB-GENE-001212-8</t>
  </si>
  <si>
    <t>http://zfin.org/ZDB-GENE-041212-59</t>
  </si>
  <si>
    <t>ubiquitin specific peptidase 2a [Source:ZFIN;Acc:ZDB-GENE-041212-59]</t>
  </si>
  <si>
    <t>usp2a</t>
  </si>
  <si>
    <t>ENSDARG00000020107</t>
  </si>
  <si>
    <t>http://zfin.org/ZDB-GENE-040426-2898</t>
  </si>
  <si>
    <t>cyclin I [Source:ZFIN;Acc:ZDB-GENE-040426-2898]</t>
  </si>
  <si>
    <t>ccni</t>
  </si>
  <si>
    <t>ENSDARG00000068214</t>
  </si>
  <si>
    <t>http://zfin.org/ZDB-GENE-990415-50</t>
  </si>
  <si>
    <t>distal-less homeobox 4b [Source:ZFIN;Acc:ZDB-GENE-990415-50]</t>
  </si>
  <si>
    <t>dlx4b</t>
  </si>
  <si>
    <t>ENSDARG00000071560</t>
  </si>
  <si>
    <t>http://zfin.org/ZDB-GENE-040426-1369</t>
  </si>
  <si>
    <t>spermatogenesis associated 6-like [Source:ZFIN;Acc:ZDB-GENE-040426-1369]</t>
  </si>
  <si>
    <t>spata6l</t>
  </si>
  <si>
    <t>ENSDARG00000004874</t>
  </si>
  <si>
    <t>http://zfin.org/ZDB-GENE-140303-1</t>
  </si>
  <si>
    <t>SLIT and NTRK-like family, member 4 [Source:ZFIN;Acc:ZDB-GENE-140303-1]</t>
  </si>
  <si>
    <t>slitrk4</t>
  </si>
  <si>
    <t>ENSDARG00000079781</t>
  </si>
  <si>
    <t>http://zfin.org/ZDB-GENE-061013-174</t>
  </si>
  <si>
    <t>zgc:153911 [Source:ZFIN;Acc:ZDB-GENE-061013-174]</t>
  </si>
  <si>
    <t>zgc:153911</t>
  </si>
  <si>
    <t>ENSDARG00000002509</t>
  </si>
  <si>
    <t>http://zfin.org/ZDB-GENE-030131-6619</t>
  </si>
  <si>
    <t>zgc:195356 [Source:ZFIN;Acc:ZDB-GENE-030131-6619]</t>
  </si>
  <si>
    <t>zgc:195356</t>
  </si>
  <si>
    <t>ENSDARG00000099134</t>
  </si>
  <si>
    <t>http://zfin.org/ZDB-GENE-040426-1615</t>
  </si>
  <si>
    <t>http://zfin.org/ZDB-GENE-030131-6048</t>
  </si>
  <si>
    <t>enolase 1a, (alpha) [Source:ZFIN;Acc:ZDB-GENE-030131-6048]</t>
  </si>
  <si>
    <t>eno1a</t>
  </si>
  <si>
    <t>ENSDARG00000022456</t>
  </si>
  <si>
    <t>http://zfin.org/ZDB-GENE-040901-7</t>
  </si>
  <si>
    <t>myocyte enhancer factor 2cb [Source:ZFIN;Acc:ZDB-GENE-040901-7]</t>
  </si>
  <si>
    <t>mef2cb</t>
  </si>
  <si>
    <t>ENSDARG00000009418</t>
  </si>
  <si>
    <t>http://zfin.org/ZDB-GENE-030131-1024</t>
  </si>
  <si>
    <t>lysosomal protein transmembrane 4 alpha [Source:ZFIN;Acc:ZDB-GENE-030131-1024]</t>
  </si>
  <si>
    <t>laptm4a</t>
  </si>
  <si>
    <t>ENSDARG00000006397</t>
  </si>
  <si>
    <t>http://zfin.org/ZDB-GENE-040724-9</t>
  </si>
  <si>
    <t>GRAM domain containing 2a [Source:ZFIN;Acc:ZDB-GENE-040724-9]</t>
  </si>
  <si>
    <t>gramd2a</t>
  </si>
  <si>
    <t>http://zfin.org/ZDB-GENE-030131-184</t>
  </si>
  <si>
    <t>CTD (carboxy-terminal domain, RNA polymerase II, polypeptide A) small phosphatase 2 [Source:ZFIN;Acc:ZDB-GENE-030131-184]</t>
  </si>
  <si>
    <t>ctdsp2</t>
  </si>
  <si>
    <t>ENSDARG00000036102</t>
  </si>
  <si>
    <t>http://zfin.org/ZDB-GENE-041111-310</t>
  </si>
  <si>
    <t>si:ch211-212o1.2 [Source:ZFIN;Acc:ZDB-GENE-041111-310]</t>
  </si>
  <si>
    <t>si:ch211-212o1.2</t>
  </si>
  <si>
    <t>ENSDARG00000011498</t>
  </si>
  <si>
    <t>http://zfin.org/ZDB-GENE-070521-5</t>
  </si>
  <si>
    <t>EF-hand calcium binding domain 2 [Source:ZFIN;Acc:ZDB-GENE-070521-5]</t>
  </si>
  <si>
    <t>efcab2</t>
  </si>
  <si>
    <t>ENSDARG00000074323</t>
  </si>
  <si>
    <t>http://zfin.org/ZDB-GENE-131127-95</t>
  </si>
  <si>
    <t>http://zfin.org/ZDB-GENE-040426-1977</t>
  </si>
  <si>
    <t>http://zfin.org/ZDB-GENE-080220-51</t>
  </si>
  <si>
    <t>http://zfin.org/ZDB-GENE-050311-1</t>
  </si>
  <si>
    <t>http://zfin.org/ZDB-GENE-041114-67</t>
  </si>
  <si>
    <t>glutathione S-transferase omega 2 [Source:ZFIN;Acc:ZDB-GENE-041114-67]</t>
  </si>
  <si>
    <t>gsto2</t>
  </si>
  <si>
    <t>ENSDARG00000033285</t>
  </si>
  <si>
    <t>http://zfin.org/ZDB-GENE-041010-104</t>
  </si>
  <si>
    <t>ATPase, H+ transporting, lysosomal, V1 subunit C1b [Source:ZFIN;Acc:ZDB-GENE-041010-104]</t>
  </si>
  <si>
    <t>atp6v1c1b</t>
  </si>
  <si>
    <t>ENSDARG00000035880</t>
  </si>
  <si>
    <t>http://zfin.org/ZDB-GENE-030131-2438</t>
  </si>
  <si>
    <t>oxidation resistance 1b [Source:ZFIN;Acc:ZDB-GENE-030131-2438]</t>
  </si>
  <si>
    <t>oxr1b</t>
  </si>
  <si>
    <t>ENSDARG00000063310</t>
  </si>
  <si>
    <t>http://zfin.org/ZDB-GENE-040426-1682</t>
  </si>
  <si>
    <t>NECAP endocytosis associated 1 [Source:ZFIN;Acc:ZDB-GENE-040426-1682]</t>
  </si>
  <si>
    <t>necap1</t>
  </si>
  <si>
    <t>ENSDARG00000020798</t>
  </si>
  <si>
    <t>http://zfin.org/ZDB-GENE-060804-1</t>
  </si>
  <si>
    <t>VCP-interacting membrane selenoprotein [Source:ZFIN;Acc:ZDB-GENE-060804-1]</t>
  </si>
  <si>
    <t>vimp</t>
  </si>
  <si>
    <t>ENSDARG00000070097</t>
  </si>
  <si>
    <t>http://zfin.org/ZDB-GENE-081106-1</t>
  </si>
  <si>
    <t>fibroblast growth factor binding protein 1b [Source:ZFIN;Acc:ZDB-GENE-081106-1]</t>
  </si>
  <si>
    <t>fgfbp1b</t>
  </si>
  <si>
    <t>ENSDARG00000039963</t>
  </si>
  <si>
    <t>http://zfin.org/ZDB-GENE-070112-1912</t>
  </si>
  <si>
    <t>http://zfin.org/ZDB-GENE-050506-113</t>
  </si>
  <si>
    <t>ATPase inhibitory factor 1b [Source:ZFIN;Acc:ZDB-GENE-050506-113]</t>
  </si>
  <si>
    <t>atpif1b</t>
  </si>
  <si>
    <t>ENSDARG00000044092</t>
  </si>
  <si>
    <t>http://zfin.org/ZDB-GENE-001229-2</t>
  </si>
  <si>
    <t>http://zfin.org/ZDB-GENE-070705-309</t>
  </si>
  <si>
    <t>cell division cycle 14Ab [Source:ZFIN;Acc:ZDB-GENE-070705-309]</t>
  </si>
  <si>
    <t>cdc14ab</t>
  </si>
  <si>
    <t>ENSDARG00000057016</t>
  </si>
  <si>
    <t>http://zfin.org/ZDB-GENE-050417-332</t>
  </si>
  <si>
    <t>iron-sulfur cluster assembly enzyme b [Source:ZFIN;Acc:ZDB-GENE-050417-332]</t>
  </si>
  <si>
    <t>iscub</t>
  </si>
  <si>
    <t>ENSDARG00000026582</t>
  </si>
  <si>
    <t>http://zfin.org/ZDB-GENE-040426-1676</t>
  </si>
  <si>
    <t>mediator complex subunit 30 [Source:ZFIN;Acc:ZDB-GENE-040426-1676]</t>
  </si>
  <si>
    <t>med30</t>
  </si>
  <si>
    <t>ENSDARG00000101115</t>
  </si>
  <si>
    <t>http://zfin.org/ZDB-GENE-081107-63</t>
  </si>
  <si>
    <t>si:dkey-34l15.1 [Source:ZFIN;Acc:ZDB-GENE-081107-63]</t>
  </si>
  <si>
    <t>TSTD1</t>
  </si>
  <si>
    <t>ENSDARG00000071567</t>
  </si>
  <si>
    <t>http://zfin.org/ZDB-GENE-030131-5980</t>
  </si>
  <si>
    <t>A kinase (PRKA) anchor protein 1a [Source:ZFIN;Acc:ZDB-GENE-030131-5980]</t>
  </si>
  <si>
    <t>akap1a</t>
  </si>
  <si>
    <t>ENSDARG00000089802</t>
  </si>
  <si>
    <t>http://zfin.org/ZDB-GENE-040704-24</t>
  </si>
  <si>
    <t>http://zfin.org/ZDB-GENE-000619-1</t>
  </si>
  <si>
    <t>http://zfin.org/ZDB-GENE-110411-185</t>
  </si>
  <si>
    <t>B-cell CLL/lymphoma 2b [Source:ZFIN;Acc:ZDB-GENE-110411-185]</t>
  </si>
  <si>
    <t>bcl2b</t>
  </si>
  <si>
    <t>ENSDARG00000089109</t>
  </si>
  <si>
    <t>AC024175.17</t>
  </si>
  <si>
    <t>ENSDARG00000082753</t>
  </si>
  <si>
    <t>http://zfin.org/ZDB-GENE-050220-4</t>
  </si>
  <si>
    <t>coiled-coil domain containing 106a [Source:ZFIN;Acc:ZDB-GENE-050220-4]</t>
  </si>
  <si>
    <t>ccdc106a</t>
  </si>
  <si>
    <t>ENSDARG00000004211</t>
  </si>
  <si>
    <t>http://zfin.org/ZDB-GENE-121030-4</t>
  </si>
  <si>
    <t>thymus, brain and testes associated [Source:ZFIN;Acc:ZDB-GENE-121030-4]</t>
  </si>
  <si>
    <t>tbata</t>
  </si>
  <si>
    <t>ENSDARG00000067831</t>
  </si>
  <si>
    <t>http://zfin.org/ZDB-GENE-030131-3570</t>
  </si>
  <si>
    <t>http://zfin.org/ZDB-GENE-030131-6414</t>
  </si>
  <si>
    <t>ATP-binding cassette, sub-family B (MDR/TAP), member 5 [Source:ZFIN;Acc:ZDB-GENE-030131-6414]</t>
  </si>
  <si>
    <t>abcb5</t>
  </si>
  <si>
    <t>ENSDARG00000021787</t>
  </si>
  <si>
    <t>http://zfin.org/ZDB-GENE-040426-1414</t>
  </si>
  <si>
    <t>Ly1 antibody reactive homolog (mouse) [Source:ZFIN;Acc:ZDB-GENE-040426-1414]</t>
  </si>
  <si>
    <t>lyar</t>
  </si>
  <si>
    <t>ENSDARG00000098507</t>
  </si>
  <si>
    <t>http://zfin.org/ZDB-GENE-050417-103</t>
  </si>
  <si>
    <t>Fanconi anemia, complementation group G [Source:ZFIN;Acc:ZDB-GENE-050417-103]</t>
  </si>
  <si>
    <t>fancg</t>
  </si>
  <si>
    <t>ENSDARG00000024967</t>
  </si>
  <si>
    <t>http://zfin.org/ZDB-GENE-091204-123</t>
  </si>
  <si>
    <t>si:ch211-56a11.2 [Source:ZFIN;Acc:ZDB-GENE-091204-123]</t>
  </si>
  <si>
    <t>si:ch211-56a11.2</t>
  </si>
  <si>
    <t>ENSDARG00000093677</t>
  </si>
  <si>
    <t>http://zfin.org/ZDB-GENE-030131-2459</t>
  </si>
  <si>
    <t>family with sequence similarity 213, member Aa [Source:ZFIN;Acc:ZDB-GENE-030131-2459]</t>
  </si>
  <si>
    <t>fam213aa</t>
  </si>
  <si>
    <t>ENSDARG00000057378</t>
  </si>
  <si>
    <t>http://zfin.org/ZDB-GENE-100913-2</t>
  </si>
  <si>
    <t>kelch-like family member 30 [Source:ZFIN;Acc:ZDB-GENE-100913-2]</t>
  </si>
  <si>
    <t>klhl30</t>
  </si>
  <si>
    <t>ENSDARG00000076094</t>
  </si>
  <si>
    <t>http://zfin.org/ZDB-GENE-030825-7</t>
  </si>
  <si>
    <t>X-linked inhibitor of apoptosis [Source:ZFIN;Acc:ZDB-GENE-030825-7]</t>
  </si>
  <si>
    <t>xiap</t>
  </si>
  <si>
    <t>ENSDARG00000016143</t>
  </si>
  <si>
    <t>http://zfin.org/ZDB-GENE-041114-84</t>
  </si>
  <si>
    <t>chloride intracellular channel 5a [Source:ZFIN;Acc:ZDB-GENE-041114-84]</t>
  </si>
  <si>
    <t>clic5a</t>
  </si>
  <si>
    <t>ENSDARG00000075993</t>
  </si>
  <si>
    <t>http://zfin.org/ZDB-GENE-020228-4</t>
  </si>
  <si>
    <t>spalt-like transcription factor 3a [Source:ZFIN;Acc:ZDB-GENE-020228-4]</t>
  </si>
  <si>
    <t>sall3a</t>
  </si>
  <si>
    <t>ENSDARG00000079613</t>
  </si>
  <si>
    <t>http://zfin.org/ZDB-GENE-050320-111</t>
  </si>
  <si>
    <t>REEP6</t>
  </si>
  <si>
    <t>http://zfin.org/ZDB-GENE-030131-7785</t>
  </si>
  <si>
    <t>TSC22 domain family, member 1 [Source:ZFIN;Acc:ZDB-GENE-030131-7785]</t>
  </si>
  <si>
    <t>tsc22d1</t>
  </si>
  <si>
    <t>ENSDARG00000038306</t>
  </si>
  <si>
    <t>http://zfin.org/ZDB-GENE-040426-1663</t>
  </si>
  <si>
    <t>calcium and integrin binding family member 2 [Source:ZFIN;Acc:ZDB-GENE-040426-1663]</t>
  </si>
  <si>
    <t>cib2</t>
  </si>
  <si>
    <t>ENSDARG00000102820</t>
  </si>
  <si>
    <t>http://zfin.org/ZDB-GENE-041014-353</t>
  </si>
  <si>
    <t>http://zfin.org/ZDB-GENE-161107-1</t>
  </si>
  <si>
    <t>cilia and flagella associated protein 99 [Source:ZFIN;Acc:ZDB-GENE-161107-1]</t>
  </si>
  <si>
    <t>cfap99</t>
  </si>
  <si>
    <t>ENSDARG00000097485</t>
  </si>
  <si>
    <t>http://zfin.org/ZDB-GENE-041026-4</t>
  </si>
  <si>
    <t>myosin IIIA [Source:ZFIN;Acc:ZDB-GENE-041026-4]</t>
  </si>
  <si>
    <t>myo3a</t>
  </si>
  <si>
    <t>ENSDARG00000010186</t>
  </si>
  <si>
    <t>http://zfin.org/ZDB-GENE-040115-5</t>
  </si>
  <si>
    <t>adenosylhomocysteinase-like 2 [Source:ZFIN;Acc:ZDB-GENE-040115-5]</t>
  </si>
  <si>
    <t>ahcyl2</t>
  </si>
  <si>
    <t>ENSDARG00000039343</t>
  </si>
  <si>
    <t>http://zfin.org/ZDB-GENE-040808-68</t>
  </si>
  <si>
    <t>acetyl-CoA acetyltransferase 1 [Source:ZFIN;Acc:ZDB-GENE-040808-68]</t>
  </si>
  <si>
    <t>acat1</t>
  </si>
  <si>
    <t>ENSDARG00000045888</t>
  </si>
  <si>
    <t>http://zfin.org/ZDB-GENE-081104-479</t>
  </si>
  <si>
    <t>si:dkeyp-82a1.8 [Source:ZFIN;Acc:ZDB-GENE-081104-479]</t>
  </si>
  <si>
    <t>si:dkeyp-82a1.8</t>
  </si>
  <si>
    <t>ENSDARG00000095539</t>
  </si>
  <si>
    <t>http://zfin.org/ZDB-GENE-050522-309</t>
  </si>
  <si>
    <t>http://zfin.org/ZDB-GENE-070209-143</t>
  </si>
  <si>
    <t>cilia and flagella associated protein 45 [Source:ZFIN;Acc:ZDB-GENE-070209-143]</t>
  </si>
  <si>
    <t>cfap45</t>
  </si>
  <si>
    <t>ENSDARG00000068103</t>
  </si>
  <si>
    <t>http://zfin.org/ZDB-GENE-141216-493</t>
  </si>
  <si>
    <t>si:dkey-46i9.1 [Source:ZFIN;Acc:ZDB-GENE-141216-493]</t>
  </si>
  <si>
    <t>PCP4L1 (1 of many)</t>
  </si>
  <si>
    <t>ENSDARG00000101446</t>
  </si>
  <si>
    <t>http://zfin.org/ZDB-GENE-030131-4194</t>
  </si>
  <si>
    <t>F-box protein 9 [Source:ZFIN;Acc:ZDB-GENE-030131-4194]</t>
  </si>
  <si>
    <t>fbxo9</t>
  </si>
  <si>
    <t>ENSDARG00000011055</t>
  </si>
  <si>
    <t>http://zfin.org/ZDB-GENE-080305-8</t>
  </si>
  <si>
    <t>http://zfin.org/ZDB-GENE-040426-728</t>
  </si>
  <si>
    <t>http://zfin.org/ZDB-GENE-040426-1986</t>
  </si>
  <si>
    <t>clathrin, light chain A [Source:ZFIN;Acc:ZDB-GENE-040426-1986]</t>
  </si>
  <si>
    <t>clta</t>
  </si>
  <si>
    <t>ENSDARG00000045618</t>
  </si>
  <si>
    <t>http://zfin.org/ZDB-GENE-061013-787</t>
  </si>
  <si>
    <t>http://zfin.org/ZDB-GENE-120709-101</t>
  </si>
  <si>
    <t>si:ch211-147k9.8 [Source:ZFIN;Acc:ZDB-GENE-120709-101]</t>
  </si>
  <si>
    <t>DYNLRB2</t>
  </si>
  <si>
    <t>ENSDARG00000089952</t>
  </si>
  <si>
    <t>RAB, member RAS oncogene family like 6 [Source:HGNC Symbol;Acc:HGNC:24703]</t>
  </si>
  <si>
    <t>RABL6 (1 of many)</t>
  </si>
  <si>
    <t>ENSDARG00000079046</t>
  </si>
  <si>
    <t>http://zfin.org/ZDB-GENE-041111-261</t>
  </si>
  <si>
    <t>NADH dehydrogenase (ubiquinone) Fe-S protein 7, (NADH-coenzyme Q reductase) [Source:ZFIN;Acc:ZDB-GENE-041111-261]</t>
  </si>
  <si>
    <t>ndufs7</t>
  </si>
  <si>
    <t>ENSDARG00000074552</t>
  </si>
  <si>
    <t>http://zfin.org/ZDB-GENE-030131-8005</t>
  </si>
  <si>
    <t>succinate dehydrogenase complex, subunit B, iron sulfur (Ip) [Source:ZFIN;Acc:ZDB-GENE-030131-8005]</t>
  </si>
  <si>
    <t>sdhb</t>
  </si>
  <si>
    <t>ENSDARG00000075768</t>
  </si>
  <si>
    <t>http://zfin.org/ZDB-GENE-070705-453</t>
  </si>
  <si>
    <t>http://zfin.org/ZDB-GENE-030131-9831</t>
  </si>
  <si>
    <t>cathepsin F [Source:ZFIN;Acc:ZDB-GENE-030131-9831]</t>
  </si>
  <si>
    <t>ctsf</t>
  </si>
  <si>
    <t>ENSDARG00000063095</t>
  </si>
  <si>
    <t>http://zfin.org/ZDB-GENE-040718-297</t>
  </si>
  <si>
    <t>solute carrier family 35, member F6 [Source:ZFIN;Acc:ZDB-GENE-040718-297]</t>
  </si>
  <si>
    <t>slc35f6</t>
  </si>
  <si>
    <t>ENSDARG00000016745</t>
  </si>
  <si>
    <t>http://zfin.org/ZDB-GENE-041114-88</t>
  </si>
  <si>
    <t>zgc:103586 [Source:ZFIN;Acc:ZDB-GENE-041114-88]</t>
  </si>
  <si>
    <t>zgc:103586</t>
  </si>
  <si>
    <t>ENSDARG00000036426</t>
  </si>
  <si>
    <t>http://zfin.org/ZDB-GENE-070705-385</t>
  </si>
  <si>
    <t>si:dkey-225f23.3 [Source:ZFIN;Acc:ZDB-GENE-070705-385]</t>
  </si>
  <si>
    <t>si:dkey-225f23.3</t>
  </si>
  <si>
    <t>ENSDARG00000101899</t>
  </si>
  <si>
    <t>http://zfin.org/ZDB-GENE-030424-2</t>
  </si>
  <si>
    <t>karyopherin (importin) beta 3 [Source:ZFIN;Acc:ZDB-GENE-030424-2]</t>
  </si>
  <si>
    <t>kpnb3</t>
  </si>
  <si>
    <t>ENSDARG00000040245</t>
  </si>
  <si>
    <t>http://zfin.org/ZDB-GENE-030616-616</t>
  </si>
  <si>
    <t>http://zfin.org/ZDB-GENE-000405-3</t>
  </si>
  <si>
    <t>pre-B-cell leukemia homeobox 3b [Source:ZFIN;Acc:ZDB-GENE-000405-3]</t>
  </si>
  <si>
    <t>pbx3b</t>
  </si>
  <si>
    <t>ENSDARG00000013615</t>
  </si>
  <si>
    <t>http://zfin.org/ZDB-GENE-110228-3</t>
  </si>
  <si>
    <t>si:ch211-191o15.6 [Source:ZFIN;Acc:ZDB-GENE-110228-3]</t>
  </si>
  <si>
    <t>si:ch211-191o15.6</t>
  </si>
  <si>
    <t>ENSDARG00000090981</t>
  </si>
  <si>
    <t>http://zfin.org/ZDB-GENE-001219-1</t>
  </si>
  <si>
    <t>HIV-1 Tat interactive protein 2 [Source:ZFIN;Acc:ZDB-GENE-001219-1]</t>
  </si>
  <si>
    <t>htatip2</t>
  </si>
  <si>
    <t>ENSDARG00000028386</t>
  </si>
  <si>
    <t>http://zfin.org/ZDB-GENE-050417-400</t>
  </si>
  <si>
    <t>http://zfin.org/ZDB-GENE-040426-914</t>
  </si>
  <si>
    <t>heme binding protein 2 [Source:ZFIN;Acc:ZDB-GENE-040426-914]</t>
  </si>
  <si>
    <t>hebp2</t>
  </si>
  <si>
    <t>ENSDARG00000042630</t>
  </si>
  <si>
    <t>http://zfin.org/ZDB-GENE-060825-230</t>
  </si>
  <si>
    <t>MORN repeat containing 2 [Source:ZFIN;Acc:ZDB-GENE-060825-230]</t>
  </si>
  <si>
    <t>morn2</t>
  </si>
  <si>
    <t>ENSDARG00000071360</t>
  </si>
  <si>
    <t>http://zfin.org/ZDB-GENE-050907-1</t>
  </si>
  <si>
    <t>cytokine inducible SH2-containing protein [Source:ZFIN;Acc:ZDB-GENE-050907-1]</t>
  </si>
  <si>
    <t>cish</t>
  </si>
  <si>
    <t>ENSDARG00000060316</t>
  </si>
  <si>
    <t>http://zfin.org/ZDB-GENE-090313-209</t>
  </si>
  <si>
    <t>si:dkey-188i13.11 [Source:ZFIN;Acc:ZDB-GENE-090313-209]</t>
  </si>
  <si>
    <t>si:dkey-188i13.11</t>
  </si>
  <si>
    <t>ENSDARG00000092895</t>
  </si>
  <si>
    <t>http://zfin.org/ZDB-GENE-050522-534</t>
  </si>
  <si>
    <t>http://zfin.org/ZDB-GENE-050419-11</t>
  </si>
  <si>
    <t>potassium voltage-gated channel, subfamily G, member 4a [Source:ZFIN;Acc:ZDB-GENE-050419-11]</t>
  </si>
  <si>
    <t>kcng4a</t>
  </si>
  <si>
    <t>ENSDARG00000062967</t>
  </si>
  <si>
    <t>http://zfin.org/ZDB-GENE-080107-1</t>
  </si>
  <si>
    <t>tubulin tyrosine ligase-like family, member 6 [Source:ZFIN;Acc:ZDB-GENE-080107-1]</t>
  </si>
  <si>
    <t>ttll6</t>
  </si>
  <si>
    <t>ENSDARG00000054023</t>
  </si>
  <si>
    <t>http://zfin.org/ZDB-GENE-030131-9784</t>
  </si>
  <si>
    <t>http://zfin.org/ZDB-GENE-040426-2361</t>
  </si>
  <si>
    <t>RELT tumor necrosis factor receptor [Source:ZFIN;Acc:ZDB-GENE-040426-2361]</t>
  </si>
  <si>
    <t>relt</t>
  </si>
  <si>
    <t>ENSDARG00000099724</t>
  </si>
  <si>
    <t>http://zfin.org/ZDB-GENE-040426-2079</t>
  </si>
  <si>
    <t>phospholipase A2, group VI (cytosolic, calcium-independent) [Source:ZFIN;Acc:ZDB-GENE-040426-2079]</t>
  </si>
  <si>
    <t>pla2g6</t>
  </si>
  <si>
    <t>ENSDARG00000060921</t>
  </si>
  <si>
    <t>http://zfin.org/ZDB-GENE-030131-3250</t>
  </si>
  <si>
    <t>carnitine palmitoyltransferase 1Ab (liver) [Source:ZFIN;Acc:ZDB-GENE-030131-3250]</t>
  </si>
  <si>
    <t>cpt1ab</t>
  </si>
  <si>
    <t>ENSDARG00000062054</t>
  </si>
  <si>
    <t>http://zfin.org/ZDB-GENE-060503-431</t>
  </si>
  <si>
    <t>http://zfin.org/ZDB-GENE-070410-72</t>
  </si>
  <si>
    <t>protein tyrosine phosphatase, non-receptor type 13 [Source:ZFIN;Acc:ZDB-GENE-070410-72]</t>
  </si>
  <si>
    <t>ptpn13</t>
  </si>
  <si>
    <t>ENSDARG00000103699</t>
  </si>
  <si>
    <t>http://zfin.org/ZDB-GENE-050522-121</t>
  </si>
  <si>
    <t>http://zfin.org/ZDB-GENE-030131-657</t>
  </si>
  <si>
    <t>http://zfin.org/ZDB-GENE-030219-75</t>
  </si>
  <si>
    <t>si:dkeyp-110e4.6 [Source:ZFIN;Acc:ZDB-GENE-030219-75]</t>
  </si>
  <si>
    <t>si:dkeyp-110e4.6</t>
  </si>
  <si>
    <t>ENSDARG00000061845</t>
  </si>
  <si>
    <t>http://zfin.org/ZDB-GENE-040426-883</t>
  </si>
  <si>
    <t>synaptosomal-associated protein 23.1 [Source:ZFIN;Acc:ZDB-GENE-040426-883]</t>
  </si>
  <si>
    <t>snap23.1</t>
  </si>
  <si>
    <t>ENSDARG00000012874</t>
  </si>
  <si>
    <t>http://zfin.org/ZDB-GENE-040426-1300</t>
  </si>
  <si>
    <t>EF-hand domain (C-terminal) containing 1 [Source:ZFIN;Acc:ZDB-GENE-040426-1300]</t>
  </si>
  <si>
    <t>efhc1</t>
  </si>
  <si>
    <t>ENSDARG00000009743</t>
  </si>
  <si>
    <t>http://zfin.org/ZDB-GENE-040426-1518</t>
  </si>
  <si>
    <t>interferon regulatory factor 7 [Source:ZFIN;Acc:ZDB-GENE-040426-1518]</t>
  </si>
  <si>
    <t>irf7</t>
  </si>
  <si>
    <t>ENSDARG00000045661</t>
  </si>
  <si>
    <t>http://zfin.org/ZDB-GENE-040801-19</t>
  </si>
  <si>
    <t>F-box protein 25 [Source:ZFIN;Acc:ZDB-GENE-040801-19]</t>
  </si>
  <si>
    <t>fbxo25</t>
  </si>
  <si>
    <t>ENSDARG00000075172</t>
  </si>
  <si>
    <t>http://zfin.org/ZDB-GENE-040912-131</t>
  </si>
  <si>
    <t>selenoprotein K [Source:ZFIN;Acc:ZDB-GENE-040912-131]</t>
  </si>
  <si>
    <t>selk</t>
  </si>
  <si>
    <t>ENSDARG00000100823</t>
  </si>
  <si>
    <t>http://zfin.org/ZDB-GENE-040718-160</t>
  </si>
  <si>
    <t>complexin 2, like [Source:ZFIN;Acc:ZDB-GENE-040718-160]</t>
  </si>
  <si>
    <t>cplx2l</t>
  </si>
  <si>
    <t>ENSDARG00000018997</t>
  </si>
  <si>
    <t>http://zfin.org/ZDB-GENE-030829-65</t>
  </si>
  <si>
    <t>http://zfin.org/ZDB-GENE-041014-83</t>
  </si>
  <si>
    <t>http://zfin.org/ZDB-GENE-131127-468</t>
  </si>
  <si>
    <t>si:ch211-235m3.10 [Source:ZFIN;Acc:ZDB-GENE-131127-468]</t>
  </si>
  <si>
    <t>si:ch211-235m3.10</t>
  </si>
  <si>
    <t>ENSDARG00000097665</t>
  </si>
  <si>
    <t>http://zfin.org/ZDB-GENE-090601-1</t>
  </si>
  <si>
    <t>synaptotagmin III [Source:ZFIN;Acc:ZDB-GENE-090601-1]</t>
  </si>
  <si>
    <t>syt3</t>
  </si>
  <si>
    <t>ENSDARG00000075830</t>
  </si>
  <si>
    <t>http://zfin.org/ZDB-GENE-070718-1</t>
  </si>
  <si>
    <t>http://zfin.org/ZDB-GENE-090312-67</t>
  </si>
  <si>
    <t>solute carrier family 24 (sodium/potassium/calcium exchanger), member 3 [Source:ZFIN;Acc:ZDB-GENE-090312-67]</t>
  </si>
  <si>
    <t>slc24a3</t>
  </si>
  <si>
    <t>ENSDARG00000006760</t>
  </si>
  <si>
    <t>http://zfin.org/ZDB-GENE-030131-12</t>
  </si>
  <si>
    <t>http://zfin.org/ZDB-GENE-041010-57</t>
  </si>
  <si>
    <t>ceroid-lipofuscinosis, neuronal 6a [Source:ZFIN;Acc:ZDB-GENE-041010-57]</t>
  </si>
  <si>
    <t>cln6a</t>
  </si>
  <si>
    <t>ENSDARG00000077584</t>
  </si>
  <si>
    <t>http://zfin.org/ZDB-GENE-140127-1</t>
  </si>
  <si>
    <t>family with sequence similarity 188, member B2 [Source:ZFIN;Acc:ZDB-GENE-140127-1]</t>
  </si>
  <si>
    <t>fam188b2</t>
  </si>
  <si>
    <t>ENSDARG00000069867</t>
  </si>
  <si>
    <t>http://zfin.org/ZDB-GENE-030131-3189</t>
  </si>
  <si>
    <t>zinc finger, DHHC-type containing 6 [Source:ZFIN;Acc:ZDB-GENE-030131-3189]</t>
  </si>
  <si>
    <t>zdhhc6</t>
  </si>
  <si>
    <t>ENSDARG00000075721</t>
  </si>
  <si>
    <t>http://zfin.org/ZDB-GENE-030326-2</t>
  </si>
  <si>
    <t>peroxiredoxin 2 [Source:ZFIN;Acc:ZDB-GENE-030326-2]</t>
  </si>
  <si>
    <t>prdx2</t>
  </si>
  <si>
    <t>ENSDARG00000025350</t>
  </si>
  <si>
    <t>http://zfin.org/ZDB-GENE-070424-267</t>
  </si>
  <si>
    <t>http://zfin.org/ZDB-GENE-031118-211</t>
  </si>
  <si>
    <t>si:dkey-226k3.4 [Source:ZFIN;Acc:ZDB-GENE-031118-211]</t>
  </si>
  <si>
    <t>si:dkey-226k3.4</t>
  </si>
  <si>
    <t>ENSDARG00000090634</t>
  </si>
  <si>
    <t>CR536604.1</t>
  </si>
  <si>
    <t>ENSDARG00000093594</t>
  </si>
  <si>
    <t>http://zfin.org/ZDB-GENE-031222-4</t>
  </si>
  <si>
    <t>http://zfin.org/ZDB-GENE-030131-8003</t>
  </si>
  <si>
    <t>atlastin GTPase 1 [Source:ZFIN;Acc:ZDB-GENE-030131-8003]</t>
  </si>
  <si>
    <t>atl1</t>
  </si>
  <si>
    <t>ENSDARG00000060481</t>
  </si>
  <si>
    <t>http://zfin.org/ZDB-GENE-030131-4309</t>
  </si>
  <si>
    <t>http://zfin.org/ZDB-GENE-050208-437</t>
  </si>
  <si>
    <t>adaptor-related protein complex 3, delta 1 subunit [Source:ZFIN;Acc:ZDB-GENE-050208-437]</t>
  </si>
  <si>
    <t>ap3d1</t>
  </si>
  <si>
    <t>ENSDARG00000071424</t>
  </si>
  <si>
    <t>http://zfin.org/ZDB-GENE-030131-3060</t>
  </si>
  <si>
    <t>http://zfin.org/ZDB-GENE-081104-295</t>
  </si>
  <si>
    <t>LYR motif containing 4 [Source:ZFIN;Acc:ZDB-GENE-081104-295]</t>
  </si>
  <si>
    <t>lyrm4</t>
  </si>
  <si>
    <t>ENSDARG00000078352</t>
  </si>
  <si>
    <t>http://zfin.org/ZDB-GENE-040912-49</t>
  </si>
  <si>
    <t>Tctex1 domain containing 1 [Source:ZFIN;Acc:ZDB-GENE-040912-49]</t>
  </si>
  <si>
    <t>tctex1d1</t>
  </si>
  <si>
    <t>ENSDARG00000103545</t>
  </si>
  <si>
    <t>http://zfin.org/ZDB-GENE-040724-113</t>
  </si>
  <si>
    <t>si:ch211-191d15.2 [Source:ZFIN;Acc:ZDB-GENE-040724-113]</t>
  </si>
  <si>
    <t>ISCU (1 of many)</t>
  </si>
  <si>
    <t>ENSDARG00000035596</t>
  </si>
  <si>
    <t>http://zfin.org/ZDB-GENE-041001-106</t>
  </si>
  <si>
    <t>si:ch211-253p18.2 [Source:ZFIN;Acc:ZDB-GENE-041001-106]</t>
  </si>
  <si>
    <t>si:ch211-253p18.2</t>
  </si>
  <si>
    <t>ENSDARG00000092770</t>
  </si>
  <si>
    <t>http://zfin.org/ZDB-GENE-040718-445</t>
  </si>
  <si>
    <t>regulator of calcineurin 3 [Source:ZFIN;Acc:ZDB-GENE-040718-445]</t>
  </si>
  <si>
    <t>rcan3</t>
  </si>
  <si>
    <t>ENSDARG00000032623</t>
  </si>
  <si>
    <t>http://zfin.org/ZDB-GENE-121214-200</t>
  </si>
  <si>
    <t>http://zfin.org/ZDB-GENE-081104-219</t>
  </si>
  <si>
    <t>Tctex1 domain containing 2 [Source:ZFIN;Acc:ZDB-GENE-081104-219]</t>
  </si>
  <si>
    <t>tctex1d2</t>
  </si>
  <si>
    <t>ENSDARG00000054255</t>
  </si>
  <si>
    <t>http://zfin.org/ZDB-GENE-131127-559</t>
  </si>
  <si>
    <t>http://zfin.org/ZDB-GENE-020731-6</t>
  </si>
  <si>
    <t>fragile X mental retardation 1 [Source:ZFIN;Acc:ZDB-GENE-020731-6]</t>
  </si>
  <si>
    <t>fmr1</t>
  </si>
  <si>
    <t>ENSDARG00000037433</t>
  </si>
  <si>
    <t>http://zfin.org/ZDB-GENE-040625-74</t>
  </si>
  <si>
    <t>methionine sulfoxide reductase B3 [Source:ZFIN;Acc:ZDB-GENE-040625-74]</t>
  </si>
  <si>
    <t>msrb3</t>
  </si>
  <si>
    <t>ENSDARG00000045658</t>
  </si>
  <si>
    <t>http://zfin.org/ZDB-GENE-050522-153</t>
  </si>
  <si>
    <t>cytochrome c oxidase subunit VIIa polypeptide 2a (liver) [Source:ZFIN;Acc:ZDB-GENE-050522-153]</t>
  </si>
  <si>
    <t>cox7a2a</t>
  </si>
  <si>
    <t>ENSDARG00000053217</t>
  </si>
  <si>
    <t>http://zfin.org/ZDB-GENE-050417-371</t>
  </si>
  <si>
    <t>BAI1-associated protein 2-like 1b [Source:ZFIN;Acc:ZDB-GENE-050417-371]</t>
  </si>
  <si>
    <t>baiap2l1b</t>
  </si>
  <si>
    <t>ENSDARG00000031119</t>
  </si>
  <si>
    <t>http://zfin.org/ZDB-GENE-070228-6</t>
  </si>
  <si>
    <t>utrophin [Source:ZFIN;Acc:ZDB-GENE-070228-6]</t>
  </si>
  <si>
    <t>utrn</t>
  </si>
  <si>
    <t>ENSDARG00000100222</t>
  </si>
  <si>
    <t>http://zfin.org/ZDB-GENE-040426-2204</t>
  </si>
  <si>
    <t>sequestosome 1 [Source:ZFIN;Acc:ZDB-GENE-040426-2204]</t>
  </si>
  <si>
    <t>sqstm1</t>
  </si>
  <si>
    <t>ENSDARG00000075014</t>
  </si>
  <si>
    <t>http://zfin.org/ZDB-GENE-100209-2</t>
  </si>
  <si>
    <t>ATPase, aminophospholipid transporter, class I, type 8A, member 2 [Source:ZFIN;Acc:ZDB-GENE-100209-2]</t>
  </si>
  <si>
    <t>atp8a2</t>
  </si>
  <si>
    <t>ENSDARG00000077492</t>
  </si>
  <si>
    <t>http://zfin.org/ZDB-GENE-041111-283</t>
  </si>
  <si>
    <t>im:7151449 [Source:ZFIN;Acc:ZDB-GENE-041111-283]</t>
  </si>
  <si>
    <t>im:7151449</t>
  </si>
  <si>
    <t>ENSDARG00000086724</t>
  </si>
  <si>
    <t>http://zfin.org/ZDB-GENE-030131-9020</t>
  </si>
  <si>
    <t>zgc:162544 [Source:ZFIN;Acc:ZDB-GENE-030131-9020]</t>
  </si>
  <si>
    <t>TST</t>
  </si>
  <si>
    <t>ENSDARG00000093235</t>
  </si>
  <si>
    <t>http://zfin.org/ZDB-GENE-030925-2</t>
  </si>
  <si>
    <t>http://zfin.org/ZDB-GENE-030131-8369</t>
  </si>
  <si>
    <t>aldolase a, fructose-bisphosphate, a [Source:ZFIN;Acc:ZDB-GENE-030131-8369]</t>
  </si>
  <si>
    <t>aldoaa</t>
  </si>
  <si>
    <t>ENSDARG00000011665</t>
  </si>
  <si>
    <t>CU467961.1</t>
  </si>
  <si>
    <t>ENSDARG00000078270</t>
  </si>
  <si>
    <t>http://zfin.org/ZDB-GENE-040704-6</t>
  </si>
  <si>
    <t>microtubule-associated protein, RP/EB family, member 3b [Source:ZFIN;Acc:ZDB-GENE-040704-6]</t>
  </si>
  <si>
    <t>mapre3b</t>
  </si>
  <si>
    <t>ENSDARG00000102878</t>
  </si>
  <si>
    <t>http://zfin.org/ZDB-GENE-050327-9</t>
  </si>
  <si>
    <t>milk fat globule-EGF factor 8 protein a [Source:ZFIN;Acc:ZDB-GENE-050327-9]</t>
  </si>
  <si>
    <t>mfge8a</t>
  </si>
  <si>
    <t>ENSDARG00000015349</t>
  </si>
  <si>
    <t>http://zfin.org/ZDB-GENE-040426-1206</t>
  </si>
  <si>
    <t>phosphorylase, glycogen, muscle b [Source:ZFIN;Acc:ZDB-GENE-040426-1206]</t>
  </si>
  <si>
    <t>pygmb</t>
  </si>
  <si>
    <t>ENSDARG00000013317</t>
  </si>
  <si>
    <t>http://zfin.org/ZDB-GENE-030131-1697</t>
  </si>
  <si>
    <t>MID1 interacting protein 1, like [Source:ZFIN;Acc:ZDB-GENE-030131-1697]</t>
  </si>
  <si>
    <t>mid1ip1l</t>
  </si>
  <si>
    <t>ENSDARG00000018145</t>
  </si>
  <si>
    <t>http://zfin.org/ZDB-GENE-030729-9</t>
  </si>
  <si>
    <t>lysosomal-associated membrane protein 2 [Source:ZFIN;Acc:ZDB-GENE-030729-9]</t>
  </si>
  <si>
    <t>lamp2</t>
  </si>
  <si>
    <t>ENSDARG00000014914</t>
  </si>
  <si>
    <t>http://zfin.org/ZDB-GENE-030828-1</t>
  </si>
  <si>
    <t>glutamate dehydrogenase 1b [Source:ZFIN;Acc:ZDB-GENE-030828-1]</t>
  </si>
  <si>
    <t>glud1b</t>
  </si>
  <si>
    <t>ENSDARG00000101074</t>
  </si>
  <si>
    <t>http://zfin.org/ZDB-GENE-030131-7582</t>
  </si>
  <si>
    <t>rogdi homolog (Drosophila) [Source:ZFIN;Acc:ZDB-GENE-030131-7582]</t>
  </si>
  <si>
    <t>rogdi</t>
  </si>
  <si>
    <t>ENSDARG00000104413</t>
  </si>
  <si>
    <t>http://zfin.org/ZDB-GENE-081022-43</t>
  </si>
  <si>
    <t>zgc:193811 [Source:ZFIN;Acc:ZDB-GENE-081022-43]</t>
  </si>
  <si>
    <t>zgc:193811</t>
  </si>
  <si>
    <t>ENSDARG00000076745</t>
  </si>
  <si>
    <t>http://zfin.org/ZDB-GENE-030131-8820</t>
  </si>
  <si>
    <t>toll interacting protein [Source:ZFIN;Acc:ZDB-GENE-030131-8820]</t>
  </si>
  <si>
    <t>tollip</t>
  </si>
  <si>
    <t>ENSDARG00000098486</t>
  </si>
  <si>
    <t>http://zfin.org/ZDB-GENE-130821-1</t>
  </si>
  <si>
    <t>serine peptidase inhibitor, Kazal type 4 [Source:ZFIN;Acc:ZDB-GENE-130821-1]</t>
  </si>
  <si>
    <t>spink4</t>
  </si>
  <si>
    <t>ENSDARG00000091609</t>
  </si>
  <si>
    <t>http://zfin.org/ZDB-GENE-030131-41</t>
  </si>
  <si>
    <t>http://zfin.org/ZDB-GENE-090313-68</t>
  </si>
  <si>
    <t>http://zfin.org/ZDB-GENE-030804-10</t>
  </si>
  <si>
    <t>http://zfin.org/ZDB-GENE-030131-18</t>
  </si>
  <si>
    <t>si:dkey-156n14.5 [Source:ZFIN;Acc:ZDB-GENE-030131-18]</t>
  </si>
  <si>
    <t>DDX17</t>
  </si>
  <si>
    <t>ENSDARG00000010873</t>
  </si>
  <si>
    <t>http://zfin.org/ZDB-GENE-040718-9</t>
  </si>
  <si>
    <t>retinol dehydrogenase 12 (all-trans/9-cis/11-cis) [Source:ZFIN;Acc:ZDB-GENE-040718-9]</t>
  </si>
  <si>
    <t>rdh12</t>
  </si>
  <si>
    <t>ENSDARG00000018069</t>
  </si>
  <si>
    <t>http://zfin.org/ZDB-GENE-080917-55</t>
  </si>
  <si>
    <t>hypoxia inducible factor 1, alpha subunit (basic helix-loop-helix transcription factor) a [Source:ZFIN;Acc:ZDB-GENE-080917-55]</t>
  </si>
  <si>
    <t>hif1aa</t>
  </si>
  <si>
    <t>ENSDARG00000006181</t>
  </si>
  <si>
    <t>http://zfin.org/ZDB-GENE-031222-2</t>
  </si>
  <si>
    <t>http://zfin.org/ZDB-GENE-040426-1310</t>
  </si>
  <si>
    <t>guanine nucleotide binding protein (G protein), alpha inhibiting activity polypeptide 1 [Source:ZFIN;Acc:ZDB-GENE-040426-1310]</t>
  </si>
  <si>
    <t>gnai1</t>
  </si>
  <si>
    <t>ENSDARG00000021647</t>
  </si>
  <si>
    <t>http://zfin.org/ZDB-GENE-060929-352</t>
  </si>
  <si>
    <t>cilia and flagella associated protein 100 [Source:ZFIN;Acc:ZDB-GENE-060929-352]</t>
  </si>
  <si>
    <t>cfap100</t>
  </si>
  <si>
    <t>ENSDARG00000038538</t>
  </si>
  <si>
    <t>http://zfin.org/ZDB-GENE-021007-1</t>
  </si>
  <si>
    <t>mitogen-activated protein kinase 14b [Source:ZFIN;Acc:ZDB-GENE-021007-1]</t>
  </si>
  <si>
    <t>mapk14b</t>
  </si>
  <si>
    <t>ENSDARG00000028721</t>
  </si>
  <si>
    <t>http://zfin.org/ZDB-GENE-050320-61</t>
  </si>
  <si>
    <t>http://zfin.org/ZDB-GENE-031006-1</t>
  </si>
  <si>
    <t>isocitrate dehydrogenase 1 (NADP+), soluble [Source:ZFIN;Acc:ZDB-GENE-031006-1]</t>
  </si>
  <si>
    <t>idh1</t>
  </si>
  <si>
    <t>ENSDARG00000025375</t>
  </si>
  <si>
    <t>http://zfin.org/ZDB-GENE-010319-27</t>
  </si>
  <si>
    <t>tetratricopeptide repeat domain 7A [Source:ZFIN;Acc:ZDB-GENE-010319-27]</t>
  </si>
  <si>
    <t>ttc7a</t>
  </si>
  <si>
    <t>ENSDARG00000074760</t>
  </si>
  <si>
    <t>http://zfin.org/ZDB-GENE-040625-76</t>
  </si>
  <si>
    <t>Yip1 domain family, member 6 [Source:ZFIN;Acc:ZDB-GENE-040625-76]</t>
  </si>
  <si>
    <t>yipf6</t>
  </si>
  <si>
    <t>ENSDARG00000054433</t>
  </si>
  <si>
    <t>http://zfin.org/ZDB-GENE-091112-22</t>
  </si>
  <si>
    <t>phosphofructokinase, platelet a [Source:ZFIN;Acc:ZDB-GENE-091112-22]</t>
  </si>
  <si>
    <t>pfkpa</t>
  </si>
  <si>
    <t>ENSDARG00000028000</t>
  </si>
  <si>
    <t>epithelial cell transforming 2 like [Source:HGNC Symbol;Acc:HGNC:21118]</t>
  </si>
  <si>
    <t>ECT2L</t>
  </si>
  <si>
    <t>ENSDARG00000091471</t>
  </si>
  <si>
    <t>http://zfin.org/ZDB-GENE-030131-1819</t>
  </si>
  <si>
    <t>http://zfin.org/ZDB-GENE-080327-7</t>
  </si>
  <si>
    <t>SLIT and NTRK-like family, member 2 [Source:ZFIN;Acc:ZDB-GENE-080327-7]</t>
  </si>
  <si>
    <t>slitrk2</t>
  </si>
  <si>
    <t>ENSDARG00000006636</t>
  </si>
  <si>
    <t>http://zfin.org/ZDB-GENE-031006-8</t>
  </si>
  <si>
    <t>5'-nucleotidase, cytosolic II, like 1 [Source:ZFIN;Acc:ZDB-GENE-031006-8]</t>
  </si>
  <si>
    <t>nt5c2l1</t>
  </si>
  <si>
    <t>ENSDARG00000034852</t>
  </si>
  <si>
    <t>http://zfin.org/ZDB-GENE-130530-910</t>
  </si>
  <si>
    <t>dynein, axonemal, heavy chain 2 [Source:ZFIN;Acc:ZDB-GENE-130530-910]</t>
  </si>
  <si>
    <t>dnah2</t>
  </si>
  <si>
    <t>ENSDARG00000087352</t>
  </si>
  <si>
    <t>http://zfin.org/ZDB-GENE-040625-180</t>
  </si>
  <si>
    <t>zgc:86599 [Source:ZFIN;Acc:ZDB-GENE-040625-180]</t>
  </si>
  <si>
    <t>COX5B (1 of many)</t>
  </si>
  <si>
    <t>ENSDARG00000015978</t>
  </si>
  <si>
    <t>http://zfin.org/ZDB-GENE-990714-19</t>
  </si>
  <si>
    <t>teneurin transmembrane protein 3 [Source:ZFIN;Acc:ZDB-GENE-990714-19]</t>
  </si>
  <si>
    <t>tenm3</t>
  </si>
  <si>
    <t>ENSDARG00000005479</t>
  </si>
  <si>
    <t>http://zfin.org/ZDB-GENE-050601-1</t>
  </si>
  <si>
    <t>glutathione S-transferase pi 2 [Source:ZFIN;Acc:ZDB-GENE-050601-1]</t>
  </si>
  <si>
    <t>gstp2</t>
  </si>
  <si>
    <t>ENSDARG00000103019</t>
  </si>
  <si>
    <t>CU469384.2</t>
  </si>
  <si>
    <t>ENSDARG00000103312</t>
  </si>
  <si>
    <t>http://zfin.org/ZDB-GENE-081104-97</t>
  </si>
  <si>
    <t>RAB, member RAS oncogene family-like 6b [Source:ZFIN;Acc:ZDB-GENE-081104-97]</t>
  </si>
  <si>
    <t>rabl6b</t>
  </si>
  <si>
    <t>ENSDARG00000077653</t>
  </si>
  <si>
    <t>http://zfin.org/ZDB-GENE-061103-172</t>
  </si>
  <si>
    <t>si:ch211-137a8.2 [Source:ZFIN;Acc:ZDB-GENE-061103-172]</t>
  </si>
  <si>
    <t>si:ch211-137a8.2</t>
  </si>
  <si>
    <t>ENSDARG00000068926</t>
  </si>
  <si>
    <t>http://zfin.org/ZDB-GENE-050417-145</t>
  </si>
  <si>
    <t>http://zfin.org/ZDB-GENE-030131-7291</t>
  </si>
  <si>
    <t>calcyphosine-like a [Source:ZFIN;Acc:ZDB-GENE-030131-7291]</t>
  </si>
  <si>
    <t>capsla</t>
  </si>
  <si>
    <t>ENSDARG00000103521</t>
  </si>
  <si>
    <t>http://zfin.org/ZDB-GENE-050522-156</t>
  </si>
  <si>
    <t>phosphatase and actin regulator 3b [Source:ZFIN;Acc:ZDB-GENE-050522-156]</t>
  </si>
  <si>
    <t>phactr3b</t>
  </si>
  <si>
    <t>ENSDARG00000019304</t>
  </si>
  <si>
    <t>http://zfin.org/ZDB-GENE-040426-825</t>
  </si>
  <si>
    <t>phosphorylase kinase, gamma 2 (testis) [Source:ZFIN;Acc:ZDB-GENE-040426-825]</t>
  </si>
  <si>
    <t>phkg2</t>
  </si>
  <si>
    <t>ENSDARG00000054208</t>
  </si>
  <si>
    <t>http://zfin.org/ZDB-GENE-041015-747</t>
  </si>
  <si>
    <t>F-box protein 16 [Source:ZFIN;Acc:ZDB-GENE-041015-747]</t>
  </si>
  <si>
    <t>fbxo16</t>
  </si>
  <si>
    <t>ENSDARG00000033949</t>
  </si>
  <si>
    <t>http://zfin.org/ZDB-GENE-040113-1</t>
  </si>
  <si>
    <t>tektin 2 (testicular) [Source:ZFIN;Acc:ZDB-GENE-040113-1]</t>
  </si>
  <si>
    <t>tekt2</t>
  </si>
  <si>
    <t>ENSDARG00000028973</t>
  </si>
  <si>
    <t>http://zfin.org/ZDB-GENE-050522-296</t>
  </si>
  <si>
    <t>cilia and flagella associated protein 52 [Source:ZFIN;Acc:ZDB-GENE-050522-296]</t>
  </si>
  <si>
    <t>cfap52</t>
  </si>
  <si>
    <t>ENSDARG00000101679</t>
  </si>
  <si>
    <t>http://zfin.org/ZDB-GENE-030131-5667</t>
  </si>
  <si>
    <t>si:dkey-37o8.1 [Source:ZFIN;Acc:ZDB-GENE-030131-5667]</t>
  </si>
  <si>
    <t>si:dkey-37o8.1</t>
  </si>
  <si>
    <t>ENSDARG00000071727</t>
  </si>
  <si>
    <t>BX927244.1</t>
  </si>
  <si>
    <t>ENSDARG00000096950</t>
  </si>
  <si>
    <t>node_enriched</t>
  </si>
  <si>
    <t>avg_diff</t>
  </si>
  <si>
    <t>zfin_id_id</t>
  </si>
  <si>
    <t>description</t>
  </si>
  <si>
    <t>external_gene_name</t>
  </si>
  <si>
    <t>ensembl_gene_id</t>
  </si>
  <si>
    <t xml:space="preserve">Genes differentially expressed between dendrogram nodes were  calculated using the function FindAllMarkersNode(), and we kept the top 100 genes with the highest p-values for each node comparison.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</si>
</sst>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1" applyFont="1"/>
    <xf numFmtId="0" fontId="4" fillId="0" borderId="0" xfId="2" applyFont="1"/>
    <xf numFmtId="11" fontId="2" fillId="0" borderId="0" xfId="1" applyNumberFormat="1" applyFont="1"/>
    <xf numFmtId="16" fontId="2" fillId="0" borderId="0" xfId="1" applyNumberFormat="1" applyFont="1"/>
    <xf numFmtId="0" fontId="0" fillId="0" borderId="0" xfId="1" applyFont="1"/>
    <xf numFmtId="0" fontId="5" fillId="0" borderId="0" xfId="0" applyFont="1"/>
    <xf numFmtId="0" fontId="6" fillId="0" borderId="0" xfId="0" applyFont="1"/>
  </cellXfs>
  <cellStyles count="3">
    <cellStyle name="Hyperlink 2" xfId="2" xr:uid="{18E87505-EC83-AF4C-AD68-F5EADB03A6A2}"/>
    <cellStyle name="Normal" xfId="0" builtinId="0"/>
    <cellStyle name="Normal 2" xfId="1" xr:uid="{F37547D5-1E05-8940-A1EE-E966B920B6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C363-33CA-534C-B56D-52E45A1266DE}">
  <dimension ref="A1"/>
  <sheetViews>
    <sheetView tabSelected="1" workbookViewId="0">
      <selection activeCell="B10" sqref="B10"/>
    </sheetView>
  </sheetViews>
  <sheetFormatPr baseColWidth="10" defaultRowHeight="15" x14ac:dyDescent="0.2"/>
  <sheetData>
    <row r="1" spans="1:1" s="7" customFormat="1" ht="19" x14ac:dyDescent="0.25">
      <c r="A1" s="6" t="s">
        <v>8869</v>
      </c>
    </row>
  </sheetData>
  <pageMargins left="0.7" right="0.7" top="0.75" bottom="0.75" header="0.3" footer="0.3"/>
  <pageSetup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B7D5A-0FBE-D141-902A-61A8BD7CDA54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3.2179809856325802E-46</v>
      </c>
      <c r="B2">
        <v>0.87795463979045296</v>
      </c>
      <c r="C2">
        <v>1</v>
      </c>
      <c r="D2">
        <v>1</v>
      </c>
      <c r="E2">
        <v>4.9823999600549201E-42</v>
      </c>
      <c r="F2" t="s">
        <v>13</v>
      </c>
      <c r="G2" t="s">
        <v>14</v>
      </c>
      <c r="H2" t="s">
        <v>13</v>
      </c>
      <c r="I2" t="str">
        <f>HYPERLINK("https://zfin.org/ZDB-GENE-130603-61")</f>
        <v>https://zfin.org/ZDB-GENE-130603-61</v>
      </c>
      <c r="J2" t="s">
        <v>15</v>
      </c>
    </row>
    <row r="3" spans="1:10" x14ac:dyDescent="0.2">
      <c r="A3">
        <v>2.8358380851655201E-42</v>
      </c>
      <c r="B3">
        <v>1.10848104750003</v>
      </c>
      <c r="C3">
        <v>0.98299999999999998</v>
      </c>
      <c r="D3">
        <v>0.90200000000000002</v>
      </c>
      <c r="E3">
        <v>4.3907281072617698E-38</v>
      </c>
      <c r="F3" t="s">
        <v>52</v>
      </c>
      <c r="G3" t="s">
        <v>53</v>
      </c>
      <c r="H3" t="s">
        <v>52</v>
      </c>
      <c r="I3" t="str">
        <f>HYPERLINK("https://zfin.org/ZDB-GENE-040426-1508")</f>
        <v>https://zfin.org/ZDB-GENE-040426-1508</v>
      </c>
      <c r="J3" t="s">
        <v>54</v>
      </c>
    </row>
    <row r="4" spans="1:10" x14ac:dyDescent="0.2">
      <c r="A4">
        <v>1.06312647628227E-34</v>
      </c>
      <c r="B4">
        <v>0.82256336088964399</v>
      </c>
      <c r="C4">
        <v>0.94699999999999995</v>
      </c>
      <c r="D4">
        <v>0.83199999999999996</v>
      </c>
      <c r="E4">
        <v>1.6460387232278398E-30</v>
      </c>
      <c r="F4" t="s">
        <v>49</v>
      </c>
      <c r="G4" t="s">
        <v>50</v>
      </c>
      <c r="H4" t="s">
        <v>49</v>
      </c>
      <c r="I4" t="str">
        <f>HYPERLINK("https://zfin.org/ZDB-GENE-031002-9")</f>
        <v>https://zfin.org/ZDB-GENE-031002-9</v>
      </c>
      <c r="J4" t="s">
        <v>51</v>
      </c>
    </row>
    <row r="5" spans="1:10" x14ac:dyDescent="0.2">
      <c r="A5">
        <v>1.08865014537858E-26</v>
      </c>
      <c r="B5">
        <v>0.80496243265335599</v>
      </c>
      <c r="C5">
        <v>0.88700000000000001</v>
      </c>
      <c r="D5">
        <v>0.74</v>
      </c>
      <c r="E5">
        <v>1.68555702008965E-22</v>
      </c>
      <c r="F5" t="s">
        <v>694</v>
      </c>
      <c r="G5" t="s">
        <v>695</v>
      </c>
      <c r="H5" t="s">
        <v>694</v>
      </c>
      <c r="I5" t="str">
        <f>HYPERLINK("https://zfin.org/ZDB-GENE-030410-5")</f>
        <v>https://zfin.org/ZDB-GENE-030410-5</v>
      </c>
      <c r="J5" t="s">
        <v>693</v>
      </c>
    </row>
    <row r="6" spans="1:10" x14ac:dyDescent="0.2">
      <c r="A6">
        <v>5.6986478893613505E-26</v>
      </c>
      <c r="B6">
        <v>0.71936603757067497</v>
      </c>
      <c r="C6">
        <v>0.94599999999999995</v>
      </c>
      <c r="D6">
        <v>0.83199999999999996</v>
      </c>
      <c r="E6">
        <v>8.8232165270981802E-22</v>
      </c>
      <c r="F6" t="s">
        <v>34</v>
      </c>
      <c r="G6" t="s">
        <v>35</v>
      </c>
      <c r="H6" t="s">
        <v>34</v>
      </c>
      <c r="I6" t="str">
        <f>HYPERLINK("https://zfin.org/ZDB-GENE-030131-3532")</f>
        <v>https://zfin.org/ZDB-GENE-030131-3532</v>
      </c>
      <c r="J6" t="s">
        <v>36</v>
      </c>
    </row>
    <row r="7" spans="1:10" x14ac:dyDescent="0.2">
      <c r="A7">
        <v>1.6353698623696099E-25</v>
      </c>
      <c r="B7">
        <v>0.52755692910776597</v>
      </c>
      <c r="C7">
        <v>0.998</v>
      </c>
      <c r="D7">
        <v>0.98299999999999998</v>
      </c>
      <c r="E7">
        <v>2.5320431579068699E-21</v>
      </c>
      <c r="F7" t="s">
        <v>16</v>
      </c>
      <c r="G7" t="s">
        <v>17</v>
      </c>
      <c r="H7" t="s">
        <v>16</v>
      </c>
      <c r="I7" t="str">
        <f>HYPERLINK("https://zfin.org/ZDB-GENE-061201-9")</f>
        <v>https://zfin.org/ZDB-GENE-061201-9</v>
      </c>
      <c r="J7" t="s">
        <v>18</v>
      </c>
    </row>
    <row r="8" spans="1:10" x14ac:dyDescent="0.2">
      <c r="A8">
        <v>2.31007464759262E-25</v>
      </c>
      <c r="B8">
        <v>0.57793590640747206</v>
      </c>
      <c r="C8">
        <v>0.96599999999999997</v>
      </c>
      <c r="D8">
        <v>0.89600000000000002</v>
      </c>
      <c r="E8">
        <v>3.5766885768676497E-21</v>
      </c>
      <c r="F8" t="s">
        <v>28</v>
      </c>
      <c r="G8" t="s">
        <v>29</v>
      </c>
      <c r="H8" t="s">
        <v>28</v>
      </c>
      <c r="I8" t="str">
        <f>HYPERLINK("https://zfin.org/ZDB-GENE-011210-2")</f>
        <v>https://zfin.org/ZDB-GENE-011210-2</v>
      </c>
      <c r="J8" t="s">
        <v>30</v>
      </c>
    </row>
    <row r="9" spans="1:10" x14ac:dyDescent="0.2">
      <c r="A9">
        <v>7.3248053043569403E-25</v>
      </c>
      <c r="B9">
        <v>0.73435504297291798</v>
      </c>
      <c r="C9">
        <v>0.93</v>
      </c>
      <c r="D9">
        <v>0.78</v>
      </c>
      <c r="E9">
        <v>1.13409960527359E-20</v>
      </c>
      <c r="F9" t="s">
        <v>46</v>
      </c>
      <c r="G9" t="s">
        <v>47</v>
      </c>
      <c r="H9" t="s">
        <v>46</v>
      </c>
      <c r="I9" t="str">
        <f>HYPERLINK("https://zfin.org/ZDB-GENE-060503-431")</f>
        <v>https://zfin.org/ZDB-GENE-060503-431</v>
      </c>
      <c r="J9" t="s">
        <v>48</v>
      </c>
    </row>
    <row r="10" spans="1:10" x14ac:dyDescent="0.2">
      <c r="A10">
        <v>3.2148043360745298E-24</v>
      </c>
      <c r="B10">
        <v>0.70764722186801099</v>
      </c>
      <c r="C10">
        <v>0.98799999999999999</v>
      </c>
      <c r="D10">
        <v>0.97099999999999997</v>
      </c>
      <c r="E10">
        <v>4.9774815535441898E-20</v>
      </c>
      <c r="F10" t="s">
        <v>210</v>
      </c>
      <c r="G10" t="s">
        <v>211</v>
      </c>
      <c r="H10" t="s">
        <v>210</v>
      </c>
      <c r="I10" t="str">
        <f>HYPERLINK("https://zfin.org/ZDB-GENE-031222-4")</f>
        <v>https://zfin.org/ZDB-GENE-031222-4</v>
      </c>
      <c r="J10" t="s">
        <v>212</v>
      </c>
    </row>
    <row r="11" spans="1:10" x14ac:dyDescent="0.2">
      <c r="A11">
        <v>2.5811019847351499E-23</v>
      </c>
      <c r="B11">
        <v>0.54029634007021698</v>
      </c>
      <c r="C11">
        <v>0.93600000000000005</v>
      </c>
      <c r="D11">
        <v>0.88400000000000001</v>
      </c>
      <c r="E11">
        <v>3.9963202029654301E-19</v>
      </c>
      <c r="F11" t="s">
        <v>109</v>
      </c>
      <c r="G11" t="s">
        <v>110</v>
      </c>
      <c r="H11" t="s">
        <v>109</v>
      </c>
      <c r="I11" t="str">
        <f>HYPERLINK("https://zfin.org/ZDB-GENE-040718-203")</f>
        <v>https://zfin.org/ZDB-GENE-040718-203</v>
      </c>
      <c r="J11" t="s">
        <v>111</v>
      </c>
    </row>
    <row r="12" spans="1:10" x14ac:dyDescent="0.2">
      <c r="A12">
        <v>6.9875789441173105E-23</v>
      </c>
      <c r="B12">
        <v>0.55043840290268697</v>
      </c>
      <c r="C12">
        <v>0.94499999999999995</v>
      </c>
      <c r="D12">
        <v>0.86699999999999999</v>
      </c>
      <c r="E12">
        <v>1.0818868479176801E-18</v>
      </c>
      <c r="F12" t="s">
        <v>183</v>
      </c>
      <c r="G12" t="s">
        <v>184</v>
      </c>
      <c r="H12" t="s">
        <v>183</v>
      </c>
      <c r="I12" t="str">
        <f>HYPERLINK("https://zfin.org/ZDB-GENE-030131-8417")</f>
        <v>https://zfin.org/ZDB-GENE-030131-8417</v>
      </c>
      <c r="J12" t="s">
        <v>185</v>
      </c>
    </row>
    <row r="13" spans="1:10" x14ac:dyDescent="0.2">
      <c r="A13">
        <v>1.15244274355222E-22</v>
      </c>
      <c r="B13">
        <v>1.4540477148077999</v>
      </c>
      <c r="C13">
        <v>0.58599999999999997</v>
      </c>
      <c r="D13">
        <v>0.23699999999999999</v>
      </c>
      <c r="E13">
        <v>1.7843270998419002E-18</v>
      </c>
      <c r="F13" t="s">
        <v>1464</v>
      </c>
      <c r="G13" t="s">
        <v>1465</v>
      </c>
      <c r="H13" t="s">
        <v>1464</v>
      </c>
      <c r="I13" t="str">
        <f>HYPERLINK("https://zfin.org/ZDB-GENE-080829-12")</f>
        <v>https://zfin.org/ZDB-GENE-080829-12</v>
      </c>
      <c r="J13" t="s">
        <v>1463</v>
      </c>
    </row>
    <row r="14" spans="1:10" x14ac:dyDescent="0.2">
      <c r="A14">
        <v>6.4326836082476004E-22</v>
      </c>
      <c r="B14">
        <v>0.64801166185761905</v>
      </c>
      <c r="C14">
        <v>0.93200000000000005</v>
      </c>
      <c r="D14">
        <v>0.80900000000000005</v>
      </c>
      <c r="E14">
        <v>9.9597240306497607E-18</v>
      </c>
      <c r="F14" t="s">
        <v>76</v>
      </c>
      <c r="G14" t="s">
        <v>77</v>
      </c>
      <c r="H14" t="s">
        <v>76</v>
      </c>
      <c r="I14" t="str">
        <f>HYPERLINK("https://zfin.org/ZDB-GENE-031001-11")</f>
        <v>https://zfin.org/ZDB-GENE-031001-11</v>
      </c>
      <c r="J14" t="s">
        <v>78</v>
      </c>
    </row>
    <row r="15" spans="1:10" x14ac:dyDescent="0.2">
      <c r="A15">
        <v>1.46851618438563E-21</v>
      </c>
      <c r="B15">
        <v>0.83965759560224995</v>
      </c>
      <c r="C15">
        <v>0.88200000000000001</v>
      </c>
      <c r="D15">
        <v>0.77500000000000002</v>
      </c>
      <c r="E15">
        <v>2.2737036082842699E-17</v>
      </c>
      <c r="F15" t="s">
        <v>73</v>
      </c>
      <c r="G15" t="s">
        <v>74</v>
      </c>
      <c r="H15" t="s">
        <v>73</v>
      </c>
      <c r="I15" t="str">
        <f>HYPERLINK("https://zfin.org/ZDB-GENE-050522-73")</f>
        <v>https://zfin.org/ZDB-GENE-050522-73</v>
      </c>
      <c r="J15" t="s">
        <v>75</v>
      </c>
    </row>
    <row r="16" spans="1:10" x14ac:dyDescent="0.2">
      <c r="A16">
        <v>2.0485048944597401E-21</v>
      </c>
      <c r="B16">
        <v>1.43077852977832</v>
      </c>
      <c r="C16">
        <v>0.82399999999999995</v>
      </c>
      <c r="D16">
        <v>0.67100000000000004</v>
      </c>
      <c r="E16">
        <v>3.1717001280920098E-17</v>
      </c>
      <c r="F16" t="s">
        <v>177</v>
      </c>
      <c r="G16" t="s">
        <v>178</v>
      </c>
      <c r="H16" t="s">
        <v>177</v>
      </c>
      <c r="I16" t="str">
        <f>HYPERLINK("https://zfin.org/ZDB-GENE-111109-2")</f>
        <v>https://zfin.org/ZDB-GENE-111109-2</v>
      </c>
      <c r="J16" t="s">
        <v>179</v>
      </c>
    </row>
    <row r="17" spans="1:10" x14ac:dyDescent="0.2">
      <c r="A17">
        <v>6.2355715516390301E-21</v>
      </c>
      <c r="B17">
        <v>0.88453502276137497</v>
      </c>
      <c r="C17">
        <v>0.72699999999999998</v>
      </c>
      <c r="D17">
        <v>0.49099999999999999</v>
      </c>
      <c r="E17">
        <v>9.6545354334027104E-17</v>
      </c>
      <c r="F17" t="s">
        <v>133</v>
      </c>
      <c r="G17" t="s">
        <v>134</v>
      </c>
      <c r="H17" t="s">
        <v>133</v>
      </c>
      <c r="I17" t="str">
        <f>HYPERLINK("https://zfin.org/")</f>
        <v>https://zfin.org/</v>
      </c>
    </row>
    <row r="18" spans="1:10" x14ac:dyDescent="0.2">
      <c r="A18">
        <v>2.9325423000448998E-20</v>
      </c>
      <c r="B18">
        <v>0.48948887939579599</v>
      </c>
      <c r="C18">
        <v>0.995</v>
      </c>
      <c r="D18">
        <v>0.98799999999999999</v>
      </c>
      <c r="E18">
        <v>4.5404552431595196E-16</v>
      </c>
      <c r="F18" t="s">
        <v>19</v>
      </c>
      <c r="G18" t="s">
        <v>20</v>
      </c>
      <c r="H18" t="s">
        <v>19</v>
      </c>
      <c r="I18" t="str">
        <f>HYPERLINK("https://zfin.org/ZDB-GENE-010328-2")</f>
        <v>https://zfin.org/ZDB-GENE-010328-2</v>
      </c>
      <c r="J18" t="s">
        <v>21</v>
      </c>
    </row>
    <row r="19" spans="1:10" x14ac:dyDescent="0.2">
      <c r="A19">
        <v>1.7670095418076399E-19</v>
      </c>
      <c r="B19">
        <v>1.01862153086323</v>
      </c>
      <c r="C19">
        <v>0.71099999999999997</v>
      </c>
      <c r="D19">
        <v>0.50900000000000001</v>
      </c>
      <c r="E19">
        <v>2.73586087358076E-15</v>
      </c>
      <c r="F19" t="s">
        <v>1482</v>
      </c>
      <c r="G19" t="s">
        <v>1483</v>
      </c>
      <c r="H19" t="s">
        <v>1482</v>
      </c>
      <c r="I19" t="str">
        <f>HYPERLINK("https://zfin.org/ZDB-GENE-040426-2826")</f>
        <v>https://zfin.org/ZDB-GENE-040426-2826</v>
      </c>
      <c r="J19" t="s">
        <v>1481</v>
      </c>
    </row>
    <row r="20" spans="1:10" x14ac:dyDescent="0.2">
      <c r="A20">
        <v>1.9615280841979799E-19</v>
      </c>
      <c r="B20">
        <v>1.10516549867571</v>
      </c>
      <c r="C20">
        <v>0.68400000000000005</v>
      </c>
      <c r="D20">
        <v>0.434</v>
      </c>
      <c r="E20">
        <v>3.0370339327637301E-15</v>
      </c>
      <c r="F20" t="s">
        <v>261</v>
      </c>
      <c r="G20" t="s">
        <v>262</v>
      </c>
      <c r="H20" t="s">
        <v>261</v>
      </c>
      <c r="I20" t="str">
        <f>HYPERLINK("https://zfin.org/ZDB-GENE-030131-2159")</f>
        <v>https://zfin.org/ZDB-GENE-030131-2159</v>
      </c>
      <c r="J20" t="s">
        <v>263</v>
      </c>
    </row>
    <row r="21" spans="1:10" x14ac:dyDescent="0.2">
      <c r="A21">
        <v>3.3384816508970499E-19</v>
      </c>
      <c r="B21">
        <v>0.48966145050267501</v>
      </c>
      <c r="C21">
        <v>0.96399999999999997</v>
      </c>
      <c r="D21">
        <v>0.91300000000000003</v>
      </c>
      <c r="E21">
        <v>5.1689711400838999E-15</v>
      </c>
      <c r="F21" t="s">
        <v>115</v>
      </c>
      <c r="G21" t="s">
        <v>116</v>
      </c>
      <c r="H21" t="s">
        <v>115</v>
      </c>
      <c r="I21" t="str">
        <f>HYPERLINK("https://zfin.org/ZDB-GENE-050208-726")</f>
        <v>https://zfin.org/ZDB-GENE-050208-726</v>
      </c>
      <c r="J21" t="s">
        <v>117</v>
      </c>
    </row>
    <row r="22" spans="1:10" x14ac:dyDescent="0.2">
      <c r="A22">
        <v>2.0592489894394599E-18</v>
      </c>
      <c r="B22">
        <v>0.98396478334362902</v>
      </c>
      <c r="C22">
        <v>0.752</v>
      </c>
      <c r="D22">
        <v>0.63</v>
      </c>
      <c r="E22">
        <v>3.1883352103491099E-14</v>
      </c>
      <c r="F22" t="s">
        <v>2024</v>
      </c>
      <c r="G22" t="s">
        <v>2025</v>
      </c>
      <c r="H22" t="s">
        <v>2024</v>
      </c>
      <c r="I22" t="str">
        <f>HYPERLINK("https://zfin.org/ZDB-GENE-030411-5")</f>
        <v>https://zfin.org/ZDB-GENE-030411-5</v>
      </c>
      <c r="J22" t="s">
        <v>2023</v>
      </c>
    </row>
    <row r="23" spans="1:10" x14ac:dyDescent="0.2">
      <c r="A23">
        <v>2.6300026735057801E-18</v>
      </c>
      <c r="B23">
        <v>0.45090765837575703</v>
      </c>
      <c r="C23">
        <v>1</v>
      </c>
      <c r="D23">
        <v>1</v>
      </c>
      <c r="E23">
        <v>4.0720331393889899E-14</v>
      </c>
      <c r="F23" t="s">
        <v>10</v>
      </c>
      <c r="G23" t="s">
        <v>11</v>
      </c>
      <c r="H23" t="s">
        <v>10</v>
      </c>
      <c r="I23" t="str">
        <f>HYPERLINK("https://zfin.org/ZDB-GENE-080225-18")</f>
        <v>https://zfin.org/ZDB-GENE-080225-18</v>
      </c>
      <c r="J23" t="s">
        <v>12</v>
      </c>
    </row>
    <row r="24" spans="1:10" x14ac:dyDescent="0.2">
      <c r="A24">
        <v>4.2327304769605002E-18</v>
      </c>
      <c r="B24">
        <v>1.5615489249415699</v>
      </c>
      <c r="C24">
        <v>0.83399999999999996</v>
      </c>
      <c r="D24">
        <v>0.75700000000000001</v>
      </c>
      <c r="E24">
        <v>6.5535365974779403E-14</v>
      </c>
      <c r="F24" t="s">
        <v>1485</v>
      </c>
      <c r="G24" t="s">
        <v>1486</v>
      </c>
      <c r="H24" t="s">
        <v>1485</v>
      </c>
      <c r="I24" t="str">
        <f>HYPERLINK("https://zfin.org/ZDB-GENE-070705-532")</f>
        <v>https://zfin.org/ZDB-GENE-070705-532</v>
      </c>
      <c r="J24" t="s">
        <v>1484</v>
      </c>
    </row>
    <row r="25" spans="1:10" x14ac:dyDescent="0.2">
      <c r="A25">
        <v>6.6488184592843902E-18</v>
      </c>
      <c r="B25">
        <v>0.83749267277850403</v>
      </c>
      <c r="C25">
        <v>0.629</v>
      </c>
      <c r="D25">
        <v>0.39300000000000002</v>
      </c>
      <c r="E25">
        <v>1.029436562051E-13</v>
      </c>
      <c r="F25" t="s">
        <v>1677</v>
      </c>
      <c r="G25" t="s">
        <v>1678</v>
      </c>
      <c r="H25" t="s">
        <v>1677</v>
      </c>
      <c r="I25" t="str">
        <f>HYPERLINK("https://zfin.org/ZDB-GENE-080204-124")</f>
        <v>https://zfin.org/ZDB-GENE-080204-124</v>
      </c>
      <c r="J25" t="s">
        <v>1676</v>
      </c>
    </row>
    <row r="26" spans="1:10" x14ac:dyDescent="0.2">
      <c r="A26">
        <v>1.5122856091120699E-17</v>
      </c>
      <c r="B26">
        <v>0.76637213677307503</v>
      </c>
      <c r="C26">
        <v>0.71</v>
      </c>
      <c r="D26">
        <v>0.42199999999999999</v>
      </c>
      <c r="E26">
        <v>2.3414718085882198E-13</v>
      </c>
      <c r="F26" t="s">
        <v>192</v>
      </c>
      <c r="G26" t="s">
        <v>193</v>
      </c>
      <c r="H26" t="s">
        <v>192</v>
      </c>
      <c r="I26" t="str">
        <f>HYPERLINK("https://zfin.org/ZDB-GENE-030131-9126")</f>
        <v>https://zfin.org/ZDB-GENE-030131-9126</v>
      </c>
      <c r="J26" t="s">
        <v>194</v>
      </c>
    </row>
    <row r="27" spans="1:10" x14ac:dyDescent="0.2">
      <c r="A27">
        <v>1.9653441657819199E-17</v>
      </c>
      <c r="B27">
        <v>0.52587925438812799</v>
      </c>
      <c r="C27">
        <v>0.875</v>
      </c>
      <c r="D27">
        <v>0.82699999999999996</v>
      </c>
      <c r="E27">
        <v>3.0429423718801501E-13</v>
      </c>
      <c r="F27" t="s">
        <v>58</v>
      </c>
      <c r="G27" t="s">
        <v>59</v>
      </c>
      <c r="H27" t="s">
        <v>58</v>
      </c>
      <c r="I27" t="str">
        <f>HYPERLINK("https://zfin.org/ZDB-GENE-040426-2768")</f>
        <v>https://zfin.org/ZDB-GENE-040426-2768</v>
      </c>
      <c r="J27" t="s">
        <v>60</v>
      </c>
    </row>
    <row r="28" spans="1:10" x14ac:dyDescent="0.2">
      <c r="A28">
        <v>2.2516544066070301E-17</v>
      </c>
      <c r="B28">
        <v>0.57786666268294895</v>
      </c>
      <c r="C28">
        <v>0.89700000000000002</v>
      </c>
      <c r="D28">
        <v>0.76300000000000001</v>
      </c>
      <c r="E28">
        <v>3.4862365177496599E-13</v>
      </c>
      <c r="F28" t="s">
        <v>55</v>
      </c>
      <c r="G28" t="s">
        <v>56</v>
      </c>
      <c r="H28" t="s">
        <v>55</v>
      </c>
      <c r="I28" t="str">
        <f>HYPERLINK("https://zfin.org/ZDB-GENE-030131-2391")</f>
        <v>https://zfin.org/ZDB-GENE-030131-2391</v>
      </c>
      <c r="J28" t="s">
        <v>57</v>
      </c>
    </row>
    <row r="29" spans="1:10" x14ac:dyDescent="0.2">
      <c r="A29">
        <v>4.0993317545305097E-17</v>
      </c>
      <c r="B29">
        <v>0.83467166499956302</v>
      </c>
      <c r="C29">
        <v>0.68300000000000005</v>
      </c>
      <c r="D29">
        <v>0.48</v>
      </c>
      <c r="E29">
        <v>6.34699535553958E-13</v>
      </c>
      <c r="F29" t="s">
        <v>189</v>
      </c>
      <c r="G29" t="s">
        <v>190</v>
      </c>
      <c r="H29" t="s">
        <v>189</v>
      </c>
      <c r="I29" t="str">
        <f>HYPERLINK("https://zfin.org/ZDB-GENE-060126-3")</f>
        <v>https://zfin.org/ZDB-GENE-060126-3</v>
      </c>
      <c r="J29" t="s">
        <v>191</v>
      </c>
    </row>
    <row r="30" spans="1:10" x14ac:dyDescent="0.2">
      <c r="A30">
        <v>4.3507011565927501E-17</v>
      </c>
      <c r="B30">
        <v>0.84709487083485202</v>
      </c>
      <c r="C30">
        <v>0.86</v>
      </c>
      <c r="D30">
        <v>0.79200000000000004</v>
      </c>
      <c r="E30">
        <v>6.7361906007525501E-13</v>
      </c>
      <c r="F30" t="s">
        <v>130</v>
      </c>
      <c r="G30" t="s">
        <v>131</v>
      </c>
      <c r="H30" t="s">
        <v>130</v>
      </c>
      <c r="I30" t="str">
        <f>HYPERLINK("https://zfin.org/ZDB-GENE-030131-8599")</f>
        <v>https://zfin.org/ZDB-GENE-030131-8599</v>
      </c>
      <c r="J30" t="s">
        <v>132</v>
      </c>
    </row>
    <row r="31" spans="1:10" x14ac:dyDescent="0.2">
      <c r="A31">
        <v>7.3253384698763296E-17</v>
      </c>
      <c r="B31">
        <v>0.65959490493636397</v>
      </c>
      <c r="C31">
        <v>0.76500000000000001</v>
      </c>
      <c r="D31">
        <v>0.54900000000000004</v>
      </c>
      <c r="E31">
        <v>1.1341821552909501E-12</v>
      </c>
      <c r="F31" t="s">
        <v>138</v>
      </c>
      <c r="G31" t="s">
        <v>139</v>
      </c>
      <c r="H31" t="s">
        <v>138</v>
      </c>
      <c r="I31" t="str">
        <f>HYPERLINK("https://zfin.org/ZDB-GENE-030131-2524")</f>
        <v>https://zfin.org/ZDB-GENE-030131-2524</v>
      </c>
      <c r="J31" t="s">
        <v>140</v>
      </c>
    </row>
    <row r="32" spans="1:10" x14ac:dyDescent="0.2">
      <c r="A32">
        <v>9.1724374478361206E-17</v>
      </c>
      <c r="B32">
        <v>1.11200623047618</v>
      </c>
      <c r="C32">
        <v>0.88100000000000001</v>
      </c>
      <c r="D32">
        <v>0.751</v>
      </c>
      <c r="E32">
        <v>1.4201684900484701E-12</v>
      </c>
      <c r="F32" t="s">
        <v>100</v>
      </c>
      <c r="G32" t="s">
        <v>101</v>
      </c>
      <c r="H32" t="s">
        <v>100</v>
      </c>
      <c r="I32" t="str">
        <f>HYPERLINK("https://zfin.org/ZDB-GENE-030131-12")</f>
        <v>https://zfin.org/ZDB-GENE-030131-12</v>
      </c>
      <c r="J32" t="s">
        <v>102</v>
      </c>
    </row>
    <row r="33" spans="1:10" x14ac:dyDescent="0.2">
      <c r="A33">
        <v>3.6961342154237698E-16</v>
      </c>
      <c r="B33">
        <v>0.73201576597926998</v>
      </c>
      <c r="C33">
        <v>0.68600000000000005</v>
      </c>
      <c r="D33">
        <v>0.42799999999999999</v>
      </c>
      <c r="E33">
        <v>5.7227246057406196E-12</v>
      </c>
      <c r="F33" t="s">
        <v>1349</v>
      </c>
      <c r="G33" t="s">
        <v>1350</v>
      </c>
      <c r="H33" t="s">
        <v>1349</v>
      </c>
      <c r="I33" t="str">
        <f>HYPERLINK("https://zfin.org/ZDB-GENE-030131-4042")</f>
        <v>https://zfin.org/ZDB-GENE-030131-4042</v>
      </c>
      <c r="J33" t="s">
        <v>1348</v>
      </c>
    </row>
    <row r="34" spans="1:10" x14ac:dyDescent="0.2">
      <c r="A34">
        <v>5.1369164928579302E-16</v>
      </c>
      <c r="B34">
        <v>0.66819184559456102</v>
      </c>
      <c r="C34">
        <v>0.73599999999999999</v>
      </c>
      <c r="D34">
        <v>0.52</v>
      </c>
      <c r="E34">
        <v>7.9534878058919294E-12</v>
      </c>
      <c r="F34" t="s">
        <v>225</v>
      </c>
      <c r="G34" t="s">
        <v>226</v>
      </c>
      <c r="H34" t="s">
        <v>225</v>
      </c>
      <c r="I34" t="str">
        <f>HYPERLINK("https://zfin.org/ZDB-GENE-000208-17")</f>
        <v>https://zfin.org/ZDB-GENE-000208-17</v>
      </c>
      <c r="J34" t="s">
        <v>227</v>
      </c>
    </row>
    <row r="35" spans="1:10" x14ac:dyDescent="0.2">
      <c r="A35">
        <v>1.1049818141452601E-15</v>
      </c>
      <c r="B35">
        <v>0.53393895643355704</v>
      </c>
      <c r="C35">
        <v>0.91900000000000004</v>
      </c>
      <c r="D35">
        <v>0.85499999999999998</v>
      </c>
      <c r="E35">
        <v>1.7108433428411101E-11</v>
      </c>
      <c r="F35" t="s">
        <v>97</v>
      </c>
      <c r="G35" t="s">
        <v>98</v>
      </c>
      <c r="H35" t="s">
        <v>97</v>
      </c>
      <c r="I35" t="str">
        <f>HYPERLINK("https://zfin.org/ZDB-GENE-000210-15")</f>
        <v>https://zfin.org/ZDB-GENE-000210-15</v>
      </c>
      <c r="J35" t="s">
        <v>99</v>
      </c>
    </row>
    <row r="36" spans="1:10" x14ac:dyDescent="0.2">
      <c r="A36">
        <v>1.1081554931727199E-15</v>
      </c>
      <c r="B36">
        <v>0.47321675985525102</v>
      </c>
      <c r="C36">
        <v>0.92</v>
      </c>
      <c r="D36">
        <v>0.80900000000000005</v>
      </c>
      <c r="E36">
        <v>1.7157571500793201E-11</v>
      </c>
      <c r="F36" t="s">
        <v>31</v>
      </c>
      <c r="G36" t="s">
        <v>32</v>
      </c>
      <c r="H36" t="s">
        <v>31</v>
      </c>
      <c r="I36" t="str">
        <f>HYPERLINK("https://zfin.org/ZDB-GENE-060316-3")</f>
        <v>https://zfin.org/ZDB-GENE-060316-3</v>
      </c>
      <c r="J36" t="s">
        <v>33</v>
      </c>
    </row>
    <row r="37" spans="1:10" x14ac:dyDescent="0.2">
      <c r="A37">
        <v>1.9739534641905E-15</v>
      </c>
      <c r="B37">
        <v>0.56653807089710995</v>
      </c>
      <c r="C37">
        <v>0.79400000000000004</v>
      </c>
      <c r="D37">
        <v>0.66500000000000004</v>
      </c>
      <c r="E37">
        <v>3.0562721486061502E-11</v>
      </c>
      <c r="F37" t="s">
        <v>1515</v>
      </c>
      <c r="G37" t="s">
        <v>1516</v>
      </c>
      <c r="H37" t="s">
        <v>1515</v>
      </c>
      <c r="I37" t="str">
        <f>HYPERLINK("https://zfin.org/ZDB-GENE-061013-323")</f>
        <v>https://zfin.org/ZDB-GENE-061013-323</v>
      </c>
      <c r="J37" t="s">
        <v>1514</v>
      </c>
    </row>
    <row r="38" spans="1:10" x14ac:dyDescent="0.2">
      <c r="A38">
        <v>2.3555613885158901E-15</v>
      </c>
      <c r="B38">
        <v>0.88125545738432298</v>
      </c>
      <c r="C38">
        <v>0.505</v>
      </c>
      <c r="D38">
        <v>0.22</v>
      </c>
      <c r="E38">
        <v>3.6471156978391503E-11</v>
      </c>
      <c r="F38" t="s">
        <v>1316</v>
      </c>
      <c r="G38" t="s">
        <v>1317</v>
      </c>
      <c r="H38" t="s">
        <v>1316</v>
      </c>
      <c r="I38" t="str">
        <f>HYPERLINK("https://zfin.org/ZDB-GENE-090915-6")</f>
        <v>https://zfin.org/ZDB-GENE-090915-6</v>
      </c>
      <c r="J38" t="s">
        <v>1315</v>
      </c>
    </row>
    <row r="39" spans="1:10" x14ac:dyDescent="0.2">
      <c r="A39">
        <v>3.7125333037850499E-15</v>
      </c>
      <c r="B39">
        <v>0.59707750616889499</v>
      </c>
      <c r="C39">
        <v>0.90800000000000003</v>
      </c>
      <c r="D39">
        <v>0.83799999999999997</v>
      </c>
      <c r="E39">
        <v>5.7481153142503999E-11</v>
      </c>
      <c r="F39" t="s">
        <v>821</v>
      </c>
      <c r="G39" t="s">
        <v>822</v>
      </c>
      <c r="H39" t="s">
        <v>821</v>
      </c>
      <c r="I39" t="str">
        <f>HYPERLINK("https://zfin.org/ZDB-GENE-000511-7")</f>
        <v>https://zfin.org/ZDB-GENE-000511-7</v>
      </c>
      <c r="J39" t="s">
        <v>820</v>
      </c>
    </row>
    <row r="40" spans="1:10" x14ac:dyDescent="0.2">
      <c r="A40">
        <v>4.1889930639075804E-15</v>
      </c>
      <c r="B40">
        <v>0.479839021257498</v>
      </c>
      <c r="C40">
        <v>0.95299999999999996</v>
      </c>
      <c r="D40">
        <v>0.873</v>
      </c>
      <c r="E40">
        <v>6.4858179608481101E-11</v>
      </c>
      <c r="F40" t="s">
        <v>67</v>
      </c>
      <c r="G40" t="s">
        <v>68</v>
      </c>
      <c r="H40" t="s">
        <v>67</v>
      </c>
      <c r="I40" t="str">
        <f>HYPERLINK("https://zfin.org/ZDB-GENE-040426-2666")</f>
        <v>https://zfin.org/ZDB-GENE-040426-2666</v>
      </c>
      <c r="J40" t="s">
        <v>69</v>
      </c>
    </row>
    <row r="41" spans="1:10" x14ac:dyDescent="0.2">
      <c r="A41">
        <v>4.2074775143841599E-15</v>
      </c>
      <c r="B41">
        <v>0.69703206359278003</v>
      </c>
      <c r="C41">
        <v>0.72</v>
      </c>
      <c r="D41">
        <v>0.54900000000000004</v>
      </c>
      <c r="E41">
        <v>6.5144374355210004E-11</v>
      </c>
      <c r="F41" t="s">
        <v>165</v>
      </c>
      <c r="G41" t="s">
        <v>166</v>
      </c>
      <c r="H41" t="s">
        <v>165</v>
      </c>
      <c r="I41" t="str">
        <f>HYPERLINK("https://zfin.org/ZDB-GENE-030131-4678")</f>
        <v>https://zfin.org/ZDB-GENE-030131-4678</v>
      </c>
      <c r="J41" t="s">
        <v>167</v>
      </c>
    </row>
    <row r="42" spans="1:10" x14ac:dyDescent="0.2">
      <c r="A42">
        <v>5.9399422005709701E-15</v>
      </c>
      <c r="B42">
        <v>0.79542070392320297</v>
      </c>
      <c r="C42">
        <v>0.73199999999999998</v>
      </c>
      <c r="D42">
        <v>0.497</v>
      </c>
      <c r="E42">
        <v>9.1968125091440296E-11</v>
      </c>
      <c r="F42" t="s">
        <v>1476</v>
      </c>
      <c r="G42" t="s">
        <v>1477</v>
      </c>
      <c r="H42" t="s">
        <v>1476</v>
      </c>
      <c r="I42" t="str">
        <f>HYPERLINK("https://zfin.org/ZDB-GENE-000619-1")</f>
        <v>https://zfin.org/ZDB-GENE-000619-1</v>
      </c>
      <c r="J42" t="s">
        <v>1475</v>
      </c>
    </row>
    <row r="43" spans="1:10" x14ac:dyDescent="0.2">
      <c r="A43">
        <v>6.0288527040611802E-15</v>
      </c>
      <c r="B43">
        <v>0.57751252269668396</v>
      </c>
      <c r="C43">
        <v>0.86</v>
      </c>
      <c r="D43">
        <v>0.746</v>
      </c>
      <c r="E43">
        <v>9.3344726416979303E-11</v>
      </c>
      <c r="F43" t="s">
        <v>88</v>
      </c>
      <c r="G43" t="s">
        <v>89</v>
      </c>
      <c r="H43" t="s">
        <v>88</v>
      </c>
      <c r="I43" t="str">
        <f>HYPERLINK("https://zfin.org/ZDB-GENE-030825-1")</f>
        <v>https://zfin.org/ZDB-GENE-030825-1</v>
      </c>
      <c r="J43" t="s">
        <v>90</v>
      </c>
    </row>
    <row r="44" spans="1:10" x14ac:dyDescent="0.2">
      <c r="A44">
        <v>6.9780896480836997E-15</v>
      </c>
      <c r="B44">
        <v>0.71241916348628798</v>
      </c>
      <c r="C44">
        <v>0.63900000000000001</v>
      </c>
      <c r="D44">
        <v>0.42199999999999999</v>
      </c>
      <c r="E44">
        <v>1.0804176202128E-10</v>
      </c>
      <c r="F44" t="s">
        <v>234</v>
      </c>
      <c r="G44" t="s">
        <v>235</v>
      </c>
      <c r="H44" t="s">
        <v>234</v>
      </c>
      <c r="I44" t="str">
        <f>HYPERLINK("https://zfin.org/ZDB-GENE-040426-1362")</f>
        <v>https://zfin.org/ZDB-GENE-040426-1362</v>
      </c>
      <c r="J44" t="s">
        <v>236</v>
      </c>
    </row>
    <row r="45" spans="1:10" x14ac:dyDescent="0.2">
      <c r="A45">
        <v>1.22024851466429E-14</v>
      </c>
      <c r="B45">
        <v>0.50118829835295897</v>
      </c>
      <c r="C45">
        <v>0.94299999999999995</v>
      </c>
      <c r="D45">
        <v>0.76900000000000002</v>
      </c>
      <c r="E45">
        <v>1.88931077525472E-10</v>
      </c>
      <c r="F45" t="s">
        <v>37</v>
      </c>
      <c r="G45" t="s">
        <v>38</v>
      </c>
      <c r="H45" t="s">
        <v>37</v>
      </c>
      <c r="I45" t="str">
        <f>HYPERLINK("https://zfin.org/ZDB-GENE-110411-160")</f>
        <v>https://zfin.org/ZDB-GENE-110411-160</v>
      </c>
      <c r="J45" t="s">
        <v>39</v>
      </c>
    </row>
    <row r="46" spans="1:10" x14ac:dyDescent="0.2">
      <c r="A46">
        <v>1.49778427194737E-14</v>
      </c>
      <c r="B46">
        <v>0.61320313181719799</v>
      </c>
      <c r="C46">
        <v>0.70299999999999996</v>
      </c>
      <c r="D46">
        <v>0.51400000000000001</v>
      </c>
      <c r="E46">
        <v>2.31901938825611E-10</v>
      </c>
      <c r="F46" t="s">
        <v>1418</v>
      </c>
      <c r="G46" t="s">
        <v>1419</v>
      </c>
      <c r="H46" t="s">
        <v>1418</v>
      </c>
      <c r="I46" t="str">
        <f>HYPERLINK("https://zfin.org/ZDB-GENE-031113-9")</f>
        <v>https://zfin.org/ZDB-GENE-031113-9</v>
      </c>
      <c r="J46" t="s">
        <v>1417</v>
      </c>
    </row>
    <row r="47" spans="1:10" x14ac:dyDescent="0.2">
      <c r="A47">
        <v>1.9687204537586699E-14</v>
      </c>
      <c r="B47">
        <v>0.43520576393561</v>
      </c>
      <c r="C47">
        <v>0.94399999999999995</v>
      </c>
      <c r="D47">
        <v>0.93600000000000005</v>
      </c>
      <c r="E47">
        <v>3.0481698785545498E-10</v>
      </c>
      <c r="F47" t="s">
        <v>43</v>
      </c>
      <c r="G47" t="s">
        <v>44</v>
      </c>
      <c r="H47" t="s">
        <v>43</v>
      </c>
      <c r="I47" t="str">
        <f>HYPERLINK("https://zfin.org/ZDB-GENE-040426-2172")</f>
        <v>https://zfin.org/ZDB-GENE-040426-2172</v>
      </c>
      <c r="J47" t="s">
        <v>45</v>
      </c>
    </row>
    <row r="48" spans="1:10" x14ac:dyDescent="0.2">
      <c r="A48">
        <v>2.0737060529024399E-14</v>
      </c>
      <c r="B48">
        <v>0.48601968673573498</v>
      </c>
      <c r="C48">
        <v>0.92800000000000005</v>
      </c>
      <c r="D48">
        <v>0.879</v>
      </c>
      <c r="E48">
        <v>3.2107190817088502E-10</v>
      </c>
      <c r="F48" t="s">
        <v>70</v>
      </c>
      <c r="G48" t="s">
        <v>71</v>
      </c>
      <c r="H48" t="s">
        <v>70</v>
      </c>
      <c r="I48" t="str">
        <f>HYPERLINK("https://zfin.org/ZDB-GENE-990708-8")</f>
        <v>https://zfin.org/ZDB-GENE-990708-8</v>
      </c>
      <c r="J48" t="s">
        <v>72</v>
      </c>
    </row>
    <row r="49" spans="1:10" x14ac:dyDescent="0.2">
      <c r="A49">
        <v>2.9137036153602899E-14</v>
      </c>
      <c r="B49">
        <v>0.542639415648136</v>
      </c>
      <c r="C49">
        <v>0.80300000000000005</v>
      </c>
      <c r="D49">
        <v>0.624</v>
      </c>
      <c r="E49">
        <v>4.5112873076623302E-10</v>
      </c>
      <c r="F49" t="s">
        <v>186</v>
      </c>
      <c r="G49" t="s">
        <v>187</v>
      </c>
      <c r="H49" t="s">
        <v>186</v>
      </c>
      <c r="I49" t="str">
        <f>HYPERLINK("https://zfin.org/ZDB-GENE-031002-1")</f>
        <v>https://zfin.org/ZDB-GENE-031002-1</v>
      </c>
      <c r="J49" t="s">
        <v>188</v>
      </c>
    </row>
    <row r="50" spans="1:10" x14ac:dyDescent="0.2">
      <c r="A50">
        <v>1.86525961447231E-13</v>
      </c>
      <c r="B50">
        <v>0.47908262950571701</v>
      </c>
      <c r="C50">
        <v>0.85399999999999998</v>
      </c>
      <c r="D50">
        <v>0.76300000000000001</v>
      </c>
      <c r="E50">
        <v>2.88798146108748E-9</v>
      </c>
      <c r="F50" t="s">
        <v>121</v>
      </c>
      <c r="G50" t="s">
        <v>122</v>
      </c>
      <c r="H50" t="s">
        <v>121</v>
      </c>
      <c r="I50" t="str">
        <f>HYPERLINK("https://zfin.org/ZDB-GENE-040426-2740")</f>
        <v>https://zfin.org/ZDB-GENE-040426-2740</v>
      </c>
      <c r="J50" t="s">
        <v>123</v>
      </c>
    </row>
    <row r="51" spans="1:10" x14ac:dyDescent="0.2">
      <c r="A51">
        <v>3.1918474788474102E-13</v>
      </c>
      <c r="B51">
        <v>1.4058457664175801</v>
      </c>
      <c r="C51">
        <v>0.56799999999999995</v>
      </c>
      <c r="D51">
        <v>0.38700000000000001</v>
      </c>
      <c r="E51">
        <v>4.9419374514994398E-9</v>
      </c>
      <c r="F51" t="s">
        <v>1415</v>
      </c>
      <c r="G51" t="s">
        <v>1416</v>
      </c>
      <c r="H51" t="s">
        <v>1415</v>
      </c>
      <c r="I51" t="str">
        <f>HYPERLINK("https://zfin.org/ZDB-GENE-030131-688")</f>
        <v>https://zfin.org/ZDB-GENE-030131-688</v>
      </c>
      <c r="J51" t="s">
        <v>1414</v>
      </c>
    </row>
    <row r="52" spans="1:10" x14ac:dyDescent="0.2">
      <c r="A52">
        <v>4.7027664296314704E-13</v>
      </c>
      <c r="B52">
        <v>0.35842131102814101</v>
      </c>
      <c r="C52">
        <v>0.97699999999999998</v>
      </c>
      <c r="D52">
        <v>0.94199999999999995</v>
      </c>
      <c r="E52">
        <v>7.2812932629983997E-9</v>
      </c>
      <c r="F52" t="s">
        <v>2021</v>
      </c>
      <c r="G52" t="s">
        <v>2022</v>
      </c>
      <c r="H52" t="s">
        <v>2021</v>
      </c>
      <c r="I52" t="str">
        <f>HYPERLINK("https://zfin.org/ZDB-GENE-061110-88")</f>
        <v>https://zfin.org/ZDB-GENE-061110-88</v>
      </c>
      <c r="J52" t="s">
        <v>2020</v>
      </c>
    </row>
    <row r="53" spans="1:10" x14ac:dyDescent="0.2">
      <c r="A53">
        <v>5.1085650217327196E-13</v>
      </c>
      <c r="B53">
        <v>0.487286426947591</v>
      </c>
      <c r="C53">
        <v>0.85899999999999999</v>
      </c>
      <c r="D53">
        <v>0.85499999999999998</v>
      </c>
      <c r="E53">
        <v>7.90959122314877E-9</v>
      </c>
      <c r="F53" t="s">
        <v>2018</v>
      </c>
      <c r="G53" t="s">
        <v>2019</v>
      </c>
      <c r="H53" t="s">
        <v>2018</v>
      </c>
      <c r="I53" t="str">
        <f>HYPERLINK("https://zfin.org/ZDB-GENE-000607-83")</f>
        <v>https://zfin.org/ZDB-GENE-000607-83</v>
      </c>
      <c r="J53" t="s">
        <v>2017</v>
      </c>
    </row>
    <row r="54" spans="1:10" x14ac:dyDescent="0.2">
      <c r="A54">
        <v>6.5990673045265201E-13</v>
      </c>
      <c r="B54">
        <v>0.45921051438827398</v>
      </c>
      <c r="C54">
        <v>0.88300000000000001</v>
      </c>
      <c r="D54">
        <v>0.79800000000000004</v>
      </c>
      <c r="E54">
        <v>1.0217335907598399E-8</v>
      </c>
      <c r="F54" t="s">
        <v>144</v>
      </c>
      <c r="G54" t="s">
        <v>145</v>
      </c>
      <c r="H54" t="s">
        <v>144</v>
      </c>
      <c r="I54" t="str">
        <f>HYPERLINK("https://zfin.org/ZDB-GENE-040426-1955")</f>
        <v>https://zfin.org/ZDB-GENE-040426-1955</v>
      </c>
      <c r="J54" t="s">
        <v>146</v>
      </c>
    </row>
    <row r="55" spans="1:10" x14ac:dyDescent="0.2">
      <c r="A55">
        <v>1.5511894798478201E-12</v>
      </c>
      <c r="B55">
        <v>0.73118017786322598</v>
      </c>
      <c r="C55">
        <v>0.65600000000000003</v>
      </c>
      <c r="D55">
        <v>0.434</v>
      </c>
      <c r="E55">
        <v>2.4017066716483899E-8</v>
      </c>
      <c r="F55" t="s">
        <v>264</v>
      </c>
      <c r="G55" t="s">
        <v>265</v>
      </c>
      <c r="H55" t="s">
        <v>264</v>
      </c>
      <c r="I55" t="str">
        <f>HYPERLINK("https://zfin.org/ZDB-GENE-050320-109")</f>
        <v>https://zfin.org/ZDB-GENE-050320-109</v>
      </c>
      <c r="J55" t="s">
        <v>266</v>
      </c>
    </row>
    <row r="56" spans="1:10" x14ac:dyDescent="0.2">
      <c r="A56">
        <v>2.0764403413695802E-12</v>
      </c>
      <c r="B56">
        <v>0.80057165432882305</v>
      </c>
      <c r="C56">
        <v>0.52900000000000003</v>
      </c>
      <c r="D56">
        <v>0.30099999999999999</v>
      </c>
      <c r="E56">
        <v>3.2149525805425297E-8</v>
      </c>
      <c r="F56" t="s">
        <v>769</v>
      </c>
      <c r="G56" t="s">
        <v>770</v>
      </c>
      <c r="H56" t="s">
        <v>769</v>
      </c>
      <c r="I56" t="str">
        <f>HYPERLINK("https://zfin.org/ZDB-GENE-040426-2151")</f>
        <v>https://zfin.org/ZDB-GENE-040426-2151</v>
      </c>
      <c r="J56" t="s">
        <v>768</v>
      </c>
    </row>
    <row r="57" spans="1:10" x14ac:dyDescent="0.2">
      <c r="A57">
        <v>3.33922736887239E-12</v>
      </c>
      <c r="B57">
        <v>0.39583586935904302</v>
      </c>
      <c r="C57">
        <v>0.97299999999999998</v>
      </c>
      <c r="D57">
        <v>0.89600000000000002</v>
      </c>
      <c r="E57">
        <v>5.1701257352251297E-8</v>
      </c>
      <c r="F57" t="s">
        <v>40</v>
      </c>
      <c r="G57" t="s">
        <v>41</v>
      </c>
      <c r="H57" t="s">
        <v>40</v>
      </c>
      <c r="I57" t="str">
        <f>HYPERLINK("https://zfin.org/ZDB-GENE-030131-1819")</f>
        <v>https://zfin.org/ZDB-GENE-030131-1819</v>
      </c>
      <c r="J57" t="s">
        <v>42</v>
      </c>
    </row>
    <row r="58" spans="1:10" x14ac:dyDescent="0.2">
      <c r="A58">
        <v>5.51389207072847E-12</v>
      </c>
      <c r="B58">
        <v>1.3174210792118499</v>
      </c>
      <c r="C58">
        <v>0.95</v>
      </c>
      <c r="D58">
        <v>0.97099999999999997</v>
      </c>
      <c r="E58">
        <v>8.5371590931088897E-8</v>
      </c>
      <c r="F58" t="s">
        <v>1479</v>
      </c>
      <c r="G58" t="s">
        <v>1480</v>
      </c>
      <c r="H58" t="s">
        <v>1479</v>
      </c>
      <c r="I58" t="str">
        <f>HYPERLINK("https://zfin.org/ZDB-GENE-121214-193")</f>
        <v>https://zfin.org/ZDB-GENE-121214-193</v>
      </c>
      <c r="J58" t="s">
        <v>1478</v>
      </c>
    </row>
    <row r="59" spans="1:10" x14ac:dyDescent="0.2">
      <c r="A59">
        <v>5.7434643061139697E-12</v>
      </c>
      <c r="B59">
        <v>0.89365879222481104</v>
      </c>
      <c r="C59">
        <v>0.32800000000000001</v>
      </c>
      <c r="D59">
        <v>8.6999999999999994E-2</v>
      </c>
      <c r="E59">
        <v>8.8926057851562595E-8</v>
      </c>
      <c r="F59" t="s">
        <v>1421</v>
      </c>
      <c r="G59" t="s">
        <v>1422</v>
      </c>
      <c r="H59" t="s">
        <v>1421</v>
      </c>
      <c r="I59" t="str">
        <f>HYPERLINK("https://zfin.org/ZDB-GENE-070705-193")</f>
        <v>https://zfin.org/ZDB-GENE-070705-193</v>
      </c>
      <c r="J59" t="s">
        <v>1420</v>
      </c>
    </row>
    <row r="60" spans="1:10" x14ac:dyDescent="0.2">
      <c r="A60">
        <v>6.3647679235992704E-12</v>
      </c>
      <c r="B60">
        <v>0.69792148748457195</v>
      </c>
      <c r="C60">
        <v>0.48899999999999999</v>
      </c>
      <c r="D60">
        <v>0.24299999999999999</v>
      </c>
      <c r="E60">
        <v>9.8545701761087494E-8</v>
      </c>
      <c r="F60" t="s">
        <v>2015</v>
      </c>
      <c r="G60" t="s">
        <v>2016</v>
      </c>
      <c r="H60" t="s">
        <v>2015</v>
      </c>
      <c r="I60" t="str">
        <f>HYPERLINK("https://zfin.org/ZDB-GENE-030131-2415")</f>
        <v>https://zfin.org/ZDB-GENE-030131-2415</v>
      </c>
      <c r="J60" t="s">
        <v>2014</v>
      </c>
    </row>
    <row r="61" spans="1:10" x14ac:dyDescent="0.2">
      <c r="A61">
        <v>6.7084434684797497E-12</v>
      </c>
      <c r="B61">
        <v>0.841737157604729</v>
      </c>
      <c r="C61">
        <v>0.57999999999999996</v>
      </c>
      <c r="D61">
        <v>0.39300000000000002</v>
      </c>
      <c r="E61">
        <v>1.03866830222472E-7</v>
      </c>
      <c r="F61" t="s">
        <v>249</v>
      </c>
      <c r="G61" t="s">
        <v>250</v>
      </c>
      <c r="H61" t="s">
        <v>249</v>
      </c>
      <c r="I61" t="str">
        <f>HYPERLINK("https://zfin.org/ZDB-GENE-141212-380")</f>
        <v>https://zfin.org/ZDB-GENE-141212-380</v>
      </c>
      <c r="J61" t="s">
        <v>251</v>
      </c>
    </row>
    <row r="62" spans="1:10" x14ac:dyDescent="0.2">
      <c r="A62">
        <v>1.01950875397683E-11</v>
      </c>
      <c r="B62">
        <v>1.29641143529028</v>
      </c>
      <c r="C62">
        <v>0.39700000000000002</v>
      </c>
      <c r="D62">
        <v>0.16800000000000001</v>
      </c>
      <c r="E62">
        <v>1.57850540378232E-7</v>
      </c>
      <c r="F62" t="s">
        <v>1433</v>
      </c>
      <c r="G62" t="s">
        <v>1434</v>
      </c>
      <c r="H62" t="s">
        <v>1433</v>
      </c>
      <c r="I62" t="str">
        <f>HYPERLINK("https://zfin.org/ZDB-GENE-070720-11")</f>
        <v>https://zfin.org/ZDB-GENE-070720-11</v>
      </c>
      <c r="J62" t="s">
        <v>1432</v>
      </c>
    </row>
    <row r="63" spans="1:10" x14ac:dyDescent="0.2">
      <c r="A63">
        <v>1.1368551896122001E-11</v>
      </c>
      <c r="B63">
        <v>0.75516299225444194</v>
      </c>
      <c r="C63">
        <v>0.76800000000000002</v>
      </c>
      <c r="D63">
        <v>0.66500000000000004</v>
      </c>
      <c r="E63">
        <v>1.7601928900765601E-7</v>
      </c>
      <c r="F63" t="s">
        <v>103</v>
      </c>
      <c r="G63" t="s">
        <v>104</v>
      </c>
      <c r="H63" t="s">
        <v>103</v>
      </c>
      <c r="I63" t="str">
        <f>HYPERLINK("https://zfin.org/ZDB-GENE-041121-18")</f>
        <v>https://zfin.org/ZDB-GENE-041121-18</v>
      </c>
      <c r="J63" t="s">
        <v>105</v>
      </c>
    </row>
    <row r="64" spans="1:10" x14ac:dyDescent="0.2">
      <c r="A64">
        <v>1.5453829781612799E-11</v>
      </c>
      <c r="B64">
        <v>0.69490665410456398</v>
      </c>
      <c r="C64">
        <v>0.64200000000000002</v>
      </c>
      <c r="D64">
        <v>0.47399999999999998</v>
      </c>
      <c r="E64">
        <v>2.3927164650871199E-7</v>
      </c>
      <c r="F64" t="s">
        <v>1458</v>
      </c>
      <c r="G64" t="s">
        <v>1459</v>
      </c>
      <c r="H64" t="s">
        <v>1458</v>
      </c>
      <c r="I64" t="str">
        <f>HYPERLINK("https://zfin.org/ZDB-GENE-030131-9")</f>
        <v>https://zfin.org/ZDB-GENE-030131-9</v>
      </c>
      <c r="J64" t="s">
        <v>1457</v>
      </c>
    </row>
    <row r="65" spans="1:10" x14ac:dyDescent="0.2">
      <c r="A65">
        <v>1.7299661974989499E-11</v>
      </c>
      <c r="B65">
        <v>0.59710094678547199</v>
      </c>
      <c r="C65">
        <v>0.59699999999999998</v>
      </c>
      <c r="D65">
        <v>0.42199999999999999</v>
      </c>
      <c r="E65">
        <v>2.6785066635876201E-7</v>
      </c>
      <c r="F65" t="s">
        <v>715</v>
      </c>
      <c r="G65" t="s">
        <v>716</v>
      </c>
      <c r="H65" t="s">
        <v>715</v>
      </c>
      <c r="I65" t="str">
        <f>HYPERLINK("https://zfin.org/ZDB-GENE-070912-397")</f>
        <v>https://zfin.org/ZDB-GENE-070912-397</v>
      </c>
      <c r="J65" t="s">
        <v>714</v>
      </c>
    </row>
    <row r="66" spans="1:10" x14ac:dyDescent="0.2">
      <c r="A66">
        <v>2.0291303593781901E-11</v>
      </c>
      <c r="B66">
        <v>0.591611951379309</v>
      </c>
      <c r="C66">
        <v>0.66</v>
      </c>
      <c r="D66">
        <v>0.46800000000000003</v>
      </c>
      <c r="E66">
        <v>3.14170253542525E-7</v>
      </c>
      <c r="F66" t="s">
        <v>282</v>
      </c>
      <c r="G66" t="s">
        <v>283</v>
      </c>
      <c r="H66" t="s">
        <v>282</v>
      </c>
      <c r="I66" t="str">
        <f>HYPERLINK("https://zfin.org/ZDB-GENE-041114-138")</f>
        <v>https://zfin.org/ZDB-GENE-041114-138</v>
      </c>
      <c r="J66" t="s">
        <v>284</v>
      </c>
    </row>
    <row r="67" spans="1:10" x14ac:dyDescent="0.2">
      <c r="A67">
        <v>5.2626824987793799E-11</v>
      </c>
      <c r="B67">
        <v>0.70367849438075003</v>
      </c>
      <c r="C67">
        <v>0.30299999999999999</v>
      </c>
      <c r="D67">
        <v>6.9000000000000006E-2</v>
      </c>
      <c r="E67">
        <v>8.1482113128601096E-7</v>
      </c>
      <c r="F67" t="s">
        <v>2012</v>
      </c>
      <c r="G67" t="s">
        <v>2013</v>
      </c>
      <c r="H67" t="s">
        <v>2012</v>
      </c>
      <c r="I67" t="str">
        <f>HYPERLINK("https://zfin.org/ZDB-GENE-030131-8455")</f>
        <v>https://zfin.org/ZDB-GENE-030131-8455</v>
      </c>
      <c r="J67" t="s">
        <v>2011</v>
      </c>
    </row>
    <row r="68" spans="1:10" x14ac:dyDescent="0.2">
      <c r="A68">
        <v>6.64575356078769E-11</v>
      </c>
      <c r="B68">
        <v>0.317429543149712</v>
      </c>
      <c r="C68">
        <v>0.91800000000000004</v>
      </c>
      <c r="D68">
        <v>0.90800000000000003</v>
      </c>
      <c r="E68">
        <v>1.02896202381676E-6</v>
      </c>
      <c r="F68" t="s">
        <v>61</v>
      </c>
      <c r="G68" t="s">
        <v>62</v>
      </c>
      <c r="H68" t="s">
        <v>61</v>
      </c>
      <c r="I68" t="str">
        <f>HYPERLINK("https://zfin.org/ZDB-GENE-010726-1")</f>
        <v>https://zfin.org/ZDB-GENE-010726-1</v>
      </c>
      <c r="J68" t="s">
        <v>63</v>
      </c>
    </row>
    <row r="69" spans="1:10" x14ac:dyDescent="0.2">
      <c r="A69">
        <v>1.31340177862181E-10</v>
      </c>
      <c r="B69">
        <v>0.46607449345951202</v>
      </c>
      <c r="C69">
        <v>0.77200000000000002</v>
      </c>
      <c r="D69">
        <v>0.65900000000000003</v>
      </c>
      <c r="E69">
        <v>2.0335399738401501E-6</v>
      </c>
      <c r="F69" t="s">
        <v>91</v>
      </c>
      <c r="G69" t="s">
        <v>92</v>
      </c>
      <c r="H69" t="s">
        <v>91</v>
      </c>
      <c r="I69" t="str">
        <f>HYPERLINK("https://zfin.org/ZDB-GENE-120215-258")</f>
        <v>https://zfin.org/ZDB-GENE-120215-258</v>
      </c>
      <c r="J69" t="s">
        <v>93</v>
      </c>
    </row>
    <row r="70" spans="1:10" x14ac:dyDescent="0.2">
      <c r="A70">
        <v>1.3337640936878599E-10</v>
      </c>
      <c r="B70">
        <v>0.92405303769084401</v>
      </c>
      <c r="C70">
        <v>0.57999999999999996</v>
      </c>
      <c r="D70">
        <v>0.37</v>
      </c>
      <c r="E70">
        <v>2.0650669462569098E-6</v>
      </c>
      <c r="F70" t="s">
        <v>1629</v>
      </c>
      <c r="G70" t="s">
        <v>1630</v>
      </c>
      <c r="H70" t="s">
        <v>1629</v>
      </c>
      <c r="I70" t="str">
        <f>HYPERLINK("https://zfin.org/ZDB-GENE-070424-74")</f>
        <v>https://zfin.org/ZDB-GENE-070424-74</v>
      </c>
      <c r="J70" t="s">
        <v>1628</v>
      </c>
    </row>
    <row r="71" spans="1:10" x14ac:dyDescent="0.2">
      <c r="A71">
        <v>3.19692834714881E-10</v>
      </c>
      <c r="B71">
        <v>0.63996709582119904</v>
      </c>
      <c r="C71">
        <v>0.379</v>
      </c>
      <c r="D71">
        <v>0.13900000000000001</v>
      </c>
      <c r="E71">
        <v>4.9498041598905103E-6</v>
      </c>
      <c r="F71" t="s">
        <v>1451</v>
      </c>
      <c r="G71" t="s">
        <v>1452</v>
      </c>
      <c r="H71" t="s">
        <v>1451</v>
      </c>
      <c r="I71" t="str">
        <f>HYPERLINK("https://zfin.org/ZDB-GENE-001212-5")</f>
        <v>https://zfin.org/ZDB-GENE-001212-5</v>
      </c>
      <c r="J71" t="s">
        <v>1450</v>
      </c>
    </row>
    <row r="72" spans="1:10" x14ac:dyDescent="0.2">
      <c r="A72">
        <v>3.74857686667962E-10</v>
      </c>
      <c r="B72">
        <v>0.76204198032320103</v>
      </c>
      <c r="C72">
        <v>0.39700000000000002</v>
      </c>
      <c r="D72">
        <v>0.17299999999999999</v>
      </c>
      <c r="E72">
        <v>5.8039215626800503E-6</v>
      </c>
      <c r="F72" t="s">
        <v>1453</v>
      </c>
      <c r="G72" t="s">
        <v>1454</v>
      </c>
      <c r="H72" t="s">
        <v>1453</v>
      </c>
      <c r="I72" t="str">
        <f>HYPERLINK("https://zfin.org/")</f>
        <v>https://zfin.org/</v>
      </c>
    </row>
    <row r="73" spans="1:10" x14ac:dyDescent="0.2">
      <c r="A73">
        <v>4.6157181581424202E-10</v>
      </c>
      <c r="B73">
        <v>0.96879013627934096</v>
      </c>
      <c r="C73">
        <v>0.44</v>
      </c>
      <c r="D73">
        <v>0.24299999999999999</v>
      </c>
      <c r="E73">
        <v>7.1465164242519097E-6</v>
      </c>
      <c r="F73" t="s">
        <v>1683</v>
      </c>
      <c r="G73" t="s">
        <v>1684</v>
      </c>
      <c r="H73" t="s">
        <v>1683</v>
      </c>
      <c r="I73" t="str">
        <f>HYPERLINK("https://zfin.org/ZDB-GENE-030411-6")</f>
        <v>https://zfin.org/ZDB-GENE-030411-6</v>
      </c>
      <c r="J73" t="s">
        <v>1682</v>
      </c>
    </row>
    <row r="74" spans="1:10" x14ac:dyDescent="0.2">
      <c r="A74">
        <v>4.8820099126610104E-10</v>
      </c>
      <c r="B74">
        <v>0.54788927866020098</v>
      </c>
      <c r="C74">
        <v>0.69299999999999995</v>
      </c>
      <c r="D74">
        <v>0.59</v>
      </c>
      <c r="E74">
        <v>7.5588159477730403E-6</v>
      </c>
      <c r="F74" t="s">
        <v>2009</v>
      </c>
      <c r="G74" t="s">
        <v>2010</v>
      </c>
      <c r="H74" t="s">
        <v>2009</v>
      </c>
      <c r="I74" t="str">
        <f>HYPERLINK("https://zfin.org/ZDB-GENE-030131-9134")</f>
        <v>https://zfin.org/ZDB-GENE-030131-9134</v>
      </c>
      <c r="J74" t="s">
        <v>2008</v>
      </c>
    </row>
    <row r="75" spans="1:10" x14ac:dyDescent="0.2">
      <c r="A75">
        <v>8.92355307244592E-10</v>
      </c>
      <c r="B75">
        <v>0.45679307637083399</v>
      </c>
      <c r="C75">
        <v>0.88200000000000001</v>
      </c>
      <c r="D75">
        <v>0.81499999999999995</v>
      </c>
      <c r="E75">
        <v>1.3816337222068E-5</v>
      </c>
      <c r="F75" t="s">
        <v>94</v>
      </c>
      <c r="G75" t="s">
        <v>95</v>
      </c>
      <c r="H75" t="s">
        <v>94</v>
      </c>
      <c r="I75" t="str">
        <f>HYPERLINK("https://zfin.org/ZDB-GENE-010129-1")</f>
        <v>https://zfin.org/ZDB-GENE-010129-1</v>
      </c>
      <c r="J75" t="s">
        <v>96</v>
      </c>
    </row>
    <row r="76" spans="1:10" x14ac:dyDescent="0.2">
      <c r="A76">
        <v>9.5150435481969296E-10</v>
      </c>
      <c r="B76">
        <v>0.84083131669406996</v>
      </c>
      <c r="C76">
        <v>0.64600000000000002</v>
      </c>
      <c r="D76">
        <v>0.57199999999999995</v>
      </c>
      <c r="E76">
        <v>1.47321419256733E-5</v>
      </c>
      <c r="F76" t="s">
        <v>306</v>
      </c>
      <c r="G76" t="s">
        <v>307</v>
      </c>
      <c r="H76" t="s">
        <v>306</v>
      </c>
      <c r="I76" t="str">
        <f>HYPERLINK("https://zfin.org/ZDB-GENE-141215-49")</f>
        <v>https://zfin.org/ZDB-GENE-141215-49</v>
      </c>
      <c r="J76" t="s">
        <v>308</v>
      </c>
    </row>
    <row r="77" spans="1:10" x14ac:dyDescent="0.2">
      <c r="A77">
        <v>1.0834310231591399E-9</v>
      </c>
      <c r="B77">
        <v>0.79283065732134905</v>
      </c>
      <c r="C77">
        <v>0.39300000000000002</v>
      </c>
      <c r="D77">
        <v>0.16800000000000001</v>
      </c>
      <c r="E77">
        <v>1.67747625315729E-5</v>
      </c>
      <c r="F77" t="s">
        <v>1436</v>
      </c>
      <c r="G77" t="s">
        <v>1437</v>
      </c>
      <c r="H77" t="s">
        <v>1436</v>
      </c>
      <c r="I77" t="str">
        <f>HYPERLINK("https://zfin.org/ZDB-GENE-070112-292")</f>
        <v>https://zfin.org/ZDB-GENE-070112-292</v>
      </c>
      <c r="J77" t="s">
        <v>1435</v>
      </c>
    </row>
    <row r="78" spans="1:10" x14ac:dyDescent="0.2">
      <c r="A78">
        <v>1.2556925166615599E-9</v>
      </c>
      <c r="B78">
        <v>0.58334440262833898</v>
      </c>
      <c r="C78">
        <v>0.52300000000000002</v>
      </c>
      <c r="D78">
        <v>0.34699999999999998</v>
      </c>
      <c r="E78">
        <v>1.9441887235470899E-5</v>
      </c>
      <c r="F78" t="s">
        <v>2006</v>
      </c>
      <c r="G78" t="s">
        <v>2007</v>
      </c>
      <c r="H78" t="s">
        <v>2006</v>
      </c>
      <c r="I78" t="str">
        <f>HYPERLINK("https://zfin.org/ZDB-GENE-040718-175")</f>
        <v>https://zfin.org/ZDB-GENE-040718-175</v>
      </c>
      <c r="J78" t="s">
        <v>2005</v>
      </c>
    </row>
    <row r="79" spans="1:10" x14ac:dyDescent="0.2">
      <c r="A79">
        <v>1.3543022651801701E-9</v>
      </c>
      <c r="B79">
        <v>0.55599585136149499</v>
      </c>
      <c r="C79">
        <v>0.73799999999999999</v>
      </c>
      <c r="D79">
        <v>0.624</v>
      </c>
      <c r="E79">
        <v>2.09686619717845E-5</v>
      </c>
      <c r="F79" t="s">
        <v>279</v>
      </c>
      <c r="G79" t="s">
        <v>280</v>
      </c>
      <c r="H79" t="s">
        <v>279</v>
      </c>
      <c r="I79" t="str">
        <f>HYPERLINK("https://zfin.org/ZDB-GENE-030131-8575")</f>
        <v>https://zfin.org/ZDB-GENE-030131-8575</v>
      </c>
      <c r="J79" t="s">
        <v>281</v>
      </c>
    </row>
    <row r="80" spans="1:10" x14ac:dyDescent="0.2">
      <c r="A80">
        <v>1.77275722733981E-9</v>
      </c>
      <c r="B80">
        <v>0.53930239328945295</v>
      </c>
      <c r="C80">
        <v>0.82699999999999996</v>
      </c>
      <c r="D80">
        <v>0.76300000000000001</v>
      </c>
      <c r="E80">
        <v>2.7447600150902201E-5</v>
      </c>
      <c r="F80" t="s">
        <v>156</v>
      </c>
      <c r="G80" t="s">
        <v>157</v>
      </c>
      <c r="H80" t="s">
        <v>156</v>
      </c>
      <c r="I80" t="str">
        <f>HYPERLINK("https://zfin.org/ZDB-GENE-141222-6")</f>
        <v>https://zfin.org/ZDB-GENE-141222-6</v>
      </c>
      <c r="J80" t="s">
        <v>158</v>
      </c>
    </row>
    <row r="81" spans="1:10" x14ac:dyDescent="0.2">
      <c r="A81">
        <v>2.01674631434178E-9</v>
      </c>
      <c r="B81">
        <v>0.84086312182074097</v>
      </c>
      <c r="C81">
        <v>0.32100000000000001</v>
      </c>
      <c r="D81">
        <v>0.11</v>
      </c>
      <c r="E81">
        <v>3.1225283184953697E-5</v>
      </c>
      <c r="F81" t="s">
        <v>2003</v>
      </c>
      <c r="G81" t="s">
        <v>2004</v>
      </c>
      <c r="H81" t="s">
        <v>2003</v>
      </c>
      <c r="I81" t="str">
        <f>HYPERLINK("https://zfin.org/ZDB-GENE-070119-3")</f>
        <v>https://zfin.org/ZDB-GENE-070119-3</v>
      </c>
      <c r="J81" t="s">
        <v>2002</v>
      </c>
    </row>
    <row r="82" spans="1:10" x14ac:dyDescent="0.2">
      <c r="A82">
        <v>2.6270368090061199E-9</v>
      </c>
      <c r="B82">
        <v>0.65611433624741999</v>
      </c>
      <c r="C82">
        <v>0.30299999999999999</v>
      </c>
      <c r="D82">
        <v>8.6999999999999994E-2</v>
      </c>
      <c r="E82">
        <v>4.0674410913841701E-5</v>
      </c>
      <c r="F82" t="s">
        <v>2000</v>
      </c>
      <c r="G82" t="s">
        <v>2001</v>
      </c>
      <c r="H82" t="s">
        <v>2000</v>
      </c>
      <c r="I82" t="str">
        <f>HYPERLINK("https://zfin.org/ZDB-GENE-011109-2")</f>
        <v>https://zfin.org/ZDB-GENE-011109-2</v>
      </c>
      <c r="J82" t="s">
        <v>1999</v>
      </c>
    </row>
    <row r="83" spans="1:10" x14ac:dyDescent="0.2">
      <c r="A83">
        <v>3.5444793697582598E-9</v>
      </c>
      <c r="B83">
        <v>1.03286145103178</v>
      </c>
      <c r="C83">
        <v>0.43</v>
      </c>
      <c r="D83">
        <v>0.24299999999999999</v>
      </c>
      <c r="E83">
        <v>5.4879174081967097E-5</v>
      </c>
      <c r="F83" t="s">
        <v>1455</v>
      </c>
      <c r="G83" t="s">
        <v>1456</v>
      </c>
      <c r="H83" t="s">
        <v>1455</v>
      </c>
      <c r="I83" t="str">
        <f>HYPERLINK("https://zfin.org/")</f>
        <v>https://zfin.org/</v>
      </c>
    </row>
    <row r="84" spans="1:10" x14ac:dyDescent="0.2">
      <c r="A84">
        <v>4.3480469068670602E-9</v>
      </c>
      <c r="B84">
        <v>0.67689710333894804</v>
      </c>
      <c r="C84">
        <v>0.40200000000000002</v>
      </c>
      <c r="D84">
        <v>0.22</v>
      </c>
      <c r="E84">
        <v>6.7320810259022704E-5</v>
      </c>
      <c r="F84" t="s">
        <v>1370</v>
      </c>
      <c r="G84" t="s">
        <v>1371</v>
      </c>
      <c r="H84" t="s">
        <v>1370</v>
      </c>
      <c r="I84" t="str">
        <f>HYPERLINK("https://zfin.org/ZDB-GENE-050320-111")</f>
        <v>https://zfin.org/ZDB-GENE-050320-111</v>
      </c>
      <c r="J84" t="s">
        <v>1369</v>
      </c>
    </row>
    <row r="85" spans="1:10" x14ac:dyDescent="0.2">
      <c r="A85">
        <v>4.4322933478465201E-9</v>
      </c>
      <c r="B85">
        <v>1.2432633809889799</v>
      </c>
      <c r="C85">
        <v>0.32400000000000001</v>
      </c>
      <c r="D85">
        <v>0.127</v>
      </c>
      <c r="E85">
        <v>6.8625197904707597E-5</v>
      </c>
      <c r="F85" t="s">
        <v>1391</v>
      </c>
      <c r="G85" t="s">
        <v>1392</v>
      </c>
      <c r="H85" t="s">
        <v>1391</v>
      </c>
      <c r="I85" t="str">
        <f>HYPERLINK("https://zfin.org/ZDB-GENE-040426-1430")</f>
        <v>https://zfin.org/ZDB-GENE-040426-1430</v>
      </c>
      <c r="J85" t="s">
        <v>1390</v>
      </c>
    </row>
    <row r="86" spans="1:10" x14ac:dyDescent="0.2">
      <c r="A86">
        <v>5.0566430450904297E-9</v>
      </c>
      <c r="B86">
        <v>0.79635770669448902</v>
      </c>
      <c r="C86">
        <v>0.48699999999999999</v>
      </c>
      <c r="D86">
        <v>0.30099999999999999</v>
      </c>
      <c r="E86">
        <v>7.8292004267135096E-5</v>
      </c>
      <c r="F86" t="s">
        <v>797</v>
      </c>
      <c r="G86" t="s">
        <v>798</v>
      </c>
      <c r="H86" t="s">
        <v>797</v>
      </c>
      <c r="I86" t="str">
        <f>HYPERLINK("https://zfin.org/ZDB-GENE-020910-1")</f>
        <v>https://zfin.org/ZDB-GENE-020910-1</v>
      </c>
      <c r="J86" t="s">
        <v>796</v>
      </c>
    </row>
    <row r="87" spans="1:10" x14ac:dyDescent="0.2">
      <c r="A87">
        <v>5.6401063716808104E-9</v>
      </c>
      <c r="B87">
        <v>0.76108710651715294</v>
      </c>
      <c r="C87">
        <v>0.67700000000000005</v>
      </c>
      <c r="D87">
        <v>0.54900000000000004</v>
      </c>
      <c r="E87">
        <v>8.7325766952733996E-5</v>
      </c>
      <c r="F87" t="s">
        <v>1166</v>
      </c>
      <c r="G87" t="s">
        <v>1167</v>
      </c>
      <c r="H87" t="s">
        <v>1166</v>
      </c>
      <c r="I87" t="str">
        <f>HYPERLINK("https://zfin.org/")</f>
        <v>https://zfin.org/</v>
      </c>
    </row>
    <row r="88" spans="1:10" x14ac:dyDescent="0.2">
      <c r="A88">
        <v>1.03752906881098E-8</v>
      </c>
      <c r="B88">
        <v>0.60538112156171497</v>
      </c>
      <c r="C88">
        <v>0.51500000000000001</v>
      </c>
      <c r="D88">
        <v>0.32400000000000001</v>
      </c>
      <c r="E88">
        <v>1.6064062572400501E-4</v>
      </c>
      <c r="F88" t="s">
        <v>1997</v>
      </c>
      <c r="G88" t="s">
        <v>1998</v>
      </c>
      <c r="H88" t="s">
        <v>1997</v>
      </c>
      <c r="I88" t="str">
        <f>HYPERLINK("https://zfin.org/ZDB-GENE-000607-70")</f>
        <v>https://zfin.org/ZDB-GENE-000607-70</v>
      </c>
      <c r="J88" t="s">
        <v>1996</v>
      </c>
    </row>
    <row r="89" spans="1:10" x14ac:dyDescent="0.2">
      <c r="A89">
        <v>1.18966415837475E-8</v>
      </c>
      <c r="B89">
        <v>0.74968982810986495</v>
      </c>
      <c r="C89">
        <v>0.53600000000000003</v>
      </c>
      <c r="D89">
        <v>0.376</v>
      </c>
      <c r="E89">
        <v>1.8419570164116301E-4</v>
      </c>
      <c r="F89" t="s">
        <v>1994</v>
      </c>
      <c r="G89" t="s">
        <v>1995</v>
      </c>
      <c r="H89" t="s">
        <v>1994</v>
      </c>
      <c r="I89" t="str">
        <f>HYPERLINK("https://zfin.org/ZDB-GENE-030131-6366")</f>
        <v>https://zfin.org/ZDB-GENE-030131-6366</v>
      </c>
      <c r="J89" t="s">
        <v>1993</v>
      </c>
    </row>
    <row r="90" spans="1:10" x14ac:dyDescent="0.2">
      <c r="A90">
        <v>1.20419407057604E-8</v>
      </c>
      <c r="B90">
        <v>0.477385969328816</v>
      </c>
      <c r="C90">
        <v>0.747</v>
      </c>
      <c r="D90">
        <v>0.63</v>
      </c>
      <c r="E90">
        <v>1.8644536794728799E-4</v>
      </c>
      <c r="F90" t="s">
        <v>1992</v>
      </c>
      <c r="G90" t="s">
        <v>1991</v>
      </c>
      <c r="H90" t="s">
        <v>1990</v>
      </c>
      <c r="I90" t="str">
        <f>HYPERLINK("https://zfin.org/ZDB-GENE-000511-4")</f>
        <v>https://zfin.org/ZDB-GENE-000511-4</v>
      </c>
      <c r="J90" t="s">
        <v>1989</v>
      </c>
    </row>
    <row r="91" spans="1:10" x14ac:dyDescent="0.2">
      <c r="A91">
        <v>2.0328844500055601E-8</v>
      </c>
      <c r="B91">
        <v>0.39215931502213103</v>
      </c>
      <c r="C91">
        <v>0.73799999999999999</v>
      </c>
      <c r="D91">
        <v>0.65900000000000003</v>
      </c>
      <c r="E91">
        <v>3.1475149939436098E-4</v>
      </c>
      <c r="F91" t="s">
        <v>1987</v>
      </c>
      <c r="G91" t="s">
        <v>1988</v>
      </c>
      <c r="H91" t="s">
        <v>1987</v>
      </c>
      <c r="I91" t="str">
        <f>HYPERLINK("https://zfin.org/ZDB-GENE-030131-4900")</f>
        <v>https://zfin.org/ZDB-GENE-030131-4900</v>
      </c>
      <c r="J91" t="s">
        <v>1986</v>
      </c>
    </row>
    <row r="92" spans="1:10" x14ac:dyDescent="0.2">
      <c r="A92">
        <v>2.0884340773573399E-8</v>
      </c>
      <c r="B92">
        <v>0.51578544795800596</v>
      </c>
      <c r="C92">
        <v>0.59199999999999997</v>
      </c>
      <c r="D92">
        <v>0.48</v>
      </c>
      <c r="E92">
        <v>3.2335224819723702E-4</v>
      </c>
      <c r="F92" t="s">
        <v>1984</v>
      </c>
      <c r="G92" t="s">
        <v>1985</v>
      </c>
      <c r="H92" t="s">
        <v>1984</v>
      </c>
      <c r="I92" t="str">
        <f>HYPERLINK("https://zfin.org/ZDB-GENE-010413-1")</f>
        <v>https://zfin.org/ZDB-GENE-010413-1</v>
      </c>
      <c r="J92" t="s">
        <v>1983</v>
      </c>
    </row>
    <row r="93" spans="1:10" x14ac:dyDescent="0.2">
      <c r="A93">
        <v>2.1068792940001899E-8</v>
      </c>
      <c r="B93">
        <v>0.60167343267462703</v>
      </c>
      <c r="C93">
        <v>0.432</v>
      </c>
      <c r="D93">
        <v>0.249</v>
      </c>
      <c r="E93">
        <v>3.2620812109004899E-4</v>
      </c>
      <c r="F93" t="s">
        <v>1981</v>
      </c>
      <c r="G93" t="s">
        <v>1982</v>
      </c>
      <c r="H93" t="s">
        <v>1981</v>
      </c>
      <c r="I93" t="str">
        <f>HYPERLINK("https://zfin.org/ZDB-GENE-040426-2417")</f>
        <v>https://zfin.org/ZDB-GENE-040426-2417</v>
      </c>
      <c r="J93" t="s">
        <v>1980</v>
      </c>
    </row>
    <row r="94" spans="1:10" x14ac:dyDescent="0.2">
      <c r="A94">
        <v>2.34557839850665E-8</v>
      </c>
      <c r="B94">
        <v>0.54641730799590504</v>
      </c>
      <c r="C94">
        <v>0.378</v>
      </c>
      <c r="D94">
        <v>0.185</v>
      </c>
      <c r="E94">
        <v>3.63165903440785E-4</v>
      </c>
      <c r="F94" t="s">
        <v>1500</v>
      </c>
      <c r="G94" t="s">
        <v>1501</v>
      </c>
      <c r="H94" t="s">
        <v>1500</v>
      </c>
      <c r="I94" t="str">
        <f>HYPERLINK("https://zfin.org/ZDB-GENE-030131-1452")</f>
        <v>https://zfin.org/ZDB-GENE-030131-1452</v>
      </c>
      <c r="J94" t="s">
        <v>1499</v>
      </c>
    </row>
    <row r="95" spans="1:10" x14ac:dyDescent="0.2">
      <c r="A95">
        <v>2.7832187299045701E-8</v>
      </c>
      <c r="B95">
        <v>0.61285428049466595</v>
      </c>
      <c r="C95">
        <v>0.39200000000000002</v>
      </c>
      <c r="D95">
        <v>0.20799999999999999</v>
      </c>
      <c r="E95">
        <v>4.3092575595112399E-4</v>
      </c>
      <c r="F95" t="s">
        <v>1978</v>
      </c>
      <c r="G95" t="s">
        <v>1979</v>
      </c>
      <c r="H95" t="s">
        <v>1978</v>
      </c>
      <c r="I95" t="str">
        <f>HYPERLINK("https://zfin.org/ZDB-GENE-050522-450")</f>
        <v>https://zfin.org/ZDB-GENE-050522-450</v>
      </c>
      <c r="J95" t="s">
        <v>1977</v>
      </c>
    </row>
    <row r="96" spans="1:10" x14ac:dyDescent="0.2">
      <c r="A96">
        <v>3.68114982016888E-8</v>
      </c>
      <c r="B96">
        <v>0.51601251347715504</v>
      </c>
      <c r="C96">
        <v>0.60599999999999998</v>
      </c>
      <c r="D96">
        <v>0.48599999999999999</v>
      </c>
      <c r="E96">
        <v>5.6995242665674702E-4</v>
      </c>
      <c r="F96" t="s">
        <v>1975</v>
      </c>
      <c r="G96" t="s">
        <v>1976</v>
      </c>
      <c r="H96" t="s">
        <v>1975</v>
      </c>
      <c r="I96" t="str">
        <f>HYPERLINK("https://zfin.org/ZDB-GENE-040912-149")</f>
        <v>https://zfin.org/ZDB-GENE-040912-149</v>
      </c>
      <c r="J96" t="s">
        <v>1974</v>
      </c>
    </row>
    <row r="97" spans="1:10" x14ac:dyDescent="0.2">
      <c r="A97">
        <v>3.8524126691866697E-8</v>
      </c>
      <c r="B97">
        <v>0.51126173268184405</v>
      </c>
      <c r="C97">
        <v>0.53900000000000003</v>
      </c>
      <c r="D97">
        <v>0.38700000000000001</v>
      </c>
      <c r="E97">
        <v>5.9646905357017203E-4</v>
      </c>
      <c r="F97" t="s">
        <v>1972</v>
      </c>
      <c r="G97" t="s">
        <v>1973</v>
      </c>
      <c r="H97" t="s">
        <v>1972</v>
      </c>
      <c r="I97" t="str">
        <f>HYPERLINK("https://zfin.org/ZDB-GENE-030131-5215")</f>
        <v>https://zfin.org/ZDB-GENE-030131-5215</v>
      </c>
      <c r="J97" t="s">
        <v>1971</v>
      </c>
    </row>
    <row r="98" spans="1:10" x14ac:dyDescent="0.2">
      <c r="A98">
        <v>5.1053805306245698E-8</v>
      </c>
      <c r="B98">
        <v>0.73957233196615701</v>
      </c>
      <c r="C98">
        <v>0.43099999999999999</v>
      </c>
      <c r="D98">
        <v>0.27700000000000002</v>
      </c>
      <c r="E98">
        <v>7.90466067556602E-4</v>
      </c>
      <c r="F98" t="s">
        <v>1969</v>
      </c>
      <c r="G98" t="s">
        <v>1970</v>
      </c>
      <c r="H98" t="s">
        <v>1969</v>
      </c>
      <c r="I98" t="str">
        <f>HYPERLINK("https://zfin.org/ZDB-GENE-120215-253")</f>
        <v>https://zfin.org/ZDB-GENE-120215-253</v>
      </c>
      <c r="J98" t="s">
        <v>1968</v>
      </c>
    </row>
    <row r="99" spans="1:10" x14ac:dyDescent="0.2">
      <c r="A99">
        <v>6.9278188169949604E-8</v>
      </c>
      <c r="B99">
        <v>0.60947200287231695</v>
      </c>
      <c r="C99">
        <v>0.59299999999999997</v>
      </c>
      <c r="D99">
        <v>0.46200000000000002</v>
      </c>
      <c r="E99">
        <v>1.0726341874353301E-3</v>
      </c>
      <c r="F99" t="s">
        <v>1412</v>
      </c>
      <c r="G99" t="s">
        <v>1413</v>
      </c>
      <c r="H99" t="s">
        <v>1412</v>
      </c>
      <c r="I99" t="str">
        <f>HYPERLINK("https://zfin.org/ZDB-GENE-030428-2")</f>
        <v>https://zfin.org/ZDB-GENE-030428-2</v>
      </c>
      <c r="J99" t="s">
        <v>1411</v>
      </c>
    </row>
    <row r="100" spans="1:10" x14ac:dyDescent="0.2">
      <c r="A100">
        <v>7.0589798862125004E-8</v>
      </c>
      <c r="B100">
        <v>0.52914694775303495</v>
      </c>
      <c r="C100">
        <v>0.64200000000000002</v>
      </c>
      <c r="D100">
        <v>0.55500000000000005</v>
      </c>
      <c r="E100">
        <v>1.0929418557822799E-3</v>
      </c>
      <c r="F100" t="s">
        <v>297</v>
      </c>
      <c r="G100" t="s">
        <v>298</v>
      </c>
      <c r="H100" t="s">
        <v>297</v>
      </c>
      <c r="I100" t="str">
        <f>HYPERLINK("https://zfin.org/ZDB-GENE-051023-8")</f>
        <v>https://zfin.org/ZDB-GENE-051023-8</v>
      </c>
      <c r="J100" t="s">
        <v>299</v>
      </c>
    </row>
    <row r="101" spans="1:10" x14ac:dyDescent="0.2">
      <c r="A101">
        <v>9.5774419879725195E-8</v>
      </c>
      <c r="B101">
        <v>0.33341004925234102</v>
      </c>
      <c r="C101">
        <v>0.90900000000000003</v>
      </c>
      <c r="D101">
        <v>0.90200000000000002</v>
      </c>
      <c r="E101">
        <v>1.48287534299778E-3</v>
      </c>
      <c r="F101" t="s">
        <v>1966</v>
      </c>
      <c r="G101" t="s">
        <v>1967</v>
      </c>
      <c r="H101" t="s">
        <v>1966</v>
      </c>
      <c r="I101" t="str">
        <f>HYPERLINK("https://zfin.org/ZDB-GENE-991110-23")</f>
        <v>https://zfin.org/ZDB-GENE-991110-23</v>
      </c>
      <c r="J101" t="s">
        <v>1965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DFD6-3BE3-5A42-96D4-F6B5930876BF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7.33203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1.2073664101093001E-94</v>
      </c>
      <c r="B2">
        <v>-2.3326500114426798</v>
      </c>
      <c r="C2">
        <v>0.15</v>
      </c>
      <c r="D2">
        <v>0.80300000000000005</v>
      </c>
      <c r="E2">
        <v>1.8693654127722201E-90</v>
      </c>
      <c r="F2" t="s">
        <v>2303</v>
      </c>
      <c r="G2" t="s">
        <v>2304</v>
      </c>
      <c r="H2" t="s">
        <v>2303</v>
      </c>
      <c r="I2" t="str">
        <f>HYPERLINK("https://zfin.org/ZDB-GENE-031006-14")</f>
        <v>https://zfin.org/ZDB-GENE-031006-14</v>
      </c>
      <c r="J2" t="s">
        <v>2302</v>
      </c>
    </row>
    <row r="3" spans="1:10" x14ac:dyDescent="0.2">
      <c r="A3">
        <v>3.8975019558685E-88</v>
      </c>
      <c r="B3">
        <v>-1.5681251374972101</v>
      </c>
      <c r="C3">
        <v>2.5999999999999999E-2</v>
      </c>
      <c r="D3">
        <v>0.50900000000000001</v>
      </c>
      <c r="E3">
        <v>6.0345022782711904E-84</v>
      </c>
      <c r="F3" t="s">
        <v>2300</v>
      </c>
      <c r="G3" t="s">
        <v>2301</v>
      </c>
      <c r="H3" t="s">
        <v>2300</v>
      </c>
      <c r="I3" t="str">
        <f>HYPERLINK("https://zfin.org/ZDB-GENE-030404-1")</f>
        <v>https://zfin.org/ZDB-GENE-030404-1</v>
      </c>
      <c r="J3" t="s">
        <v>2299</v>
      </c>
    </row>
    <row r="4" spans="1:10" x14ac:dyDescent="0.2">
      <c r="A4">
        <v>3.0717270144962001E-86</v>
      </c>
      <c r="B4">
        <v>-1.21726533367066</v>
      </c>
      <c r="C4">
        <v>1.2999999999999999E-2</v>
      </c>
      <c r="D4">
        <v>0.44500000000000001</v>
      </c>
      <c r="E4">
        <v>4.7559549365444601E-82</v>
      </c>
      <c r="F4" t="s">
        <v>2297</v>
      </c>
      <c r="G4" t="s">
        <v>2298</v>
      </c>
      <c r="H4" t="s">
        <v>2297</v>
      </c>
      <c r="I4" t="str">
        <f>HYPERLINK("https://zfin.org/ZDB-GENE-030131-9771")</f>
        <v>https://zfin.org/ZDB-GENE-030131-9771</v>
      </c>
      <c r="J4" t="s">
        <v>2296</v>
      </c>
    </row>
    <row r="5" spans="1:10" x14ac:dyDescent="0.2">
      <c r="A5">
        <v>2.3445668492125101E-82</v>
      </c>
      <c r="B5">
        <v>-2.1389976432258502</v>
      </c>
      <c r="C5">
        <v>3.5000000000000003E-2</v>
      </c>
      <c r="D5">
        <v>0.51400000000000001</v>
      </c>
      <c r="E5">
        <v>3.63009285263572E-78</v>
      </c>
      <c r="F5" t="s">
        <v>2256</v>
      </c>
      <c r="G5" t="s">
        <v>2295</v>
      </c>
      <c r="H5" t="s">
        <v>2256</v>
      </c>
      <c r="I5" t="str">
        <f>HYPERLINK("https://zfin.org/ZDB-GENE-990415-25")</f>
        <v>https://zfin.org/ZDB-GENE-990415-25</v>
      </c>
      <c r="J5" t="s">
        <v>2255</v>
      </c>
    </row>
    <row r="6" spans="1:10" x14ac:dyDescent="0.2">
      <c r="A6">
        <v>1.77261013109714E-81</v>
      </c>
      <c r="B6">
        <v>-1.0262788029687999</v>
      </c>
      <c r="C6">
        <v>6.0000000000000001E-3</v>
      </c>
      <c r="D6">
        <v>0.38700000000000001</v>
      </c>
      <c r="E6">
        <v>2.74453226597771E-77</v>
      </c>
      <c r="F6" t="s">
        <v>2293</v>
      </c>
      <c r="G6" t="s">
        <v>2294</v>
      </c>
      <c r="H6" t="s">
        <v>2293</v>
      </c>
      <c r="I6" t="str">
        <f>HYPERLINK("https://zfin.org/ZDB-GENE-031118-197")</f>
        <v>https://zfin.org/ZDB-GENE-031118-197</v>
      </c>
      <c r="J6" t="s">
        <v>2292</v>
      </c>
    </row>
    <row r="7" spans="1:10" x14ac:dyDescent="0.2">
      <c r="A7">
        <v>3.8207750859652701E-80</v>
      </c>
      <c r="B7">
        <v>-1.9917876845334199</v>
      </c>
      <c r="C7">
        <v>0.11899999999999999</v>
      </c>
      <c r="D7">
        <v>0.69899999999999995</v>
      </c>
      <c r="E7">
        <v>5.9157060656000295E-76</v>
      </c>
      <c r="F7" t="s">
        <v>2290</v>
      </c>
      <c r="G7" t="s">
        <v>2291</v>
      </c>
      <c r="H7" t="s">
        <v>2290</v>
      </c>
      <c r="I7" t="str">
        <f>HYPERLINK("https://zfin.org/ZDB-GENE-000210-8")</f>
        <v>https://zfin.org/ZDB-GENE-000210-8</v>
      </c>
      <c r="J7" t="s">
        <v>2289</v>
      </c>
    </row>
    <row r="8" spans="1:10" x14ac:dyDescent="0.2">
      <c r="A8">
        <v>5.8019488963802E-79</v>
      </c>
      <c r="B8">
        <v>-1.5912972148910001</v>
      </c>
      <c r="C8">
        <v>2.4E-2</v>
      </c>
      <c r="D8">
        <v>0.45700000000000002</v>
      </c>
      <c r="E8">
        <v>8.9831574762654692E-75</v>
      </c>
      <c r="F8" t="s">
        <v>2287</v>
      </c>
      <c r="G8" t="s">
        <v>2288</v>
      </c>
      <c r="H8" t="s">
        <v>2287</v>
      </c>
      <c r="I8" t="str">
        <f>HYPERLINK("https://zfin.org/ZDB-GENE-050327-77")</f>
        <v>https://zfin.org/ZDB-GENE-050327-77</v>
      </c>
      <c r="J8" t="s">
        <v>2286</v>
      </c>
    </row>
    <row r="9" spans="1:10" x14ac:dyDescent="0.2">
      <c r="A9">
        <v>4.8263102082280202E-75</v>
      </c>
      <c r="B9">
        <v>-1.59835767861999</v>
      </c>
      <c r="C9">
        <v>5.6000000000000001E-2</v>
      </c>
      <c r="D9">
        <v>0.55500000000000005</v>
      </c>
      <c r="E9">
        <v>7.4725760953994398E-71</v>
      </c>
      <c r="F9" t="s">
        <v>2284</v>
      </c>
      <c r="G9" t="s">
        <v>2285</v>
      </c>
      <c r="H9" t="s">
        <v>2284</v>
      </c>
      <c r="I9" t="str">
        <f>HYPERLINK("https://zfin.org/ZDB-GENE-131127-543")</f>
        <v>https://zfin.org/ZDB-GENE-131127-543</v>
      </c>
      <c r="J9" t="s">
        <v>2283</v>
      </c>
    </row>
    <row r="10" spans="1:10" x14ac:dyDescent="0.2">
      <c r="A10">
        <v>1.6898868489243999E-74</v>
      </c>
      <c r="B10">
        <v>-1.0330728335258601</v>
      </c>
      <c r="C10">
        <v>5.0000000000000001E-3</v>
      </c>
      <c r="D10">
        <v>0.35299999999999998</v>
      </c>
      <c r="E10">
        <v>2.61645180818965E-70</v>
      </c>
      <c r="F10" t="s">
        <v>2281</v>
      </c>
      <c r="G10" t="s">
        <v>2282</v>
      </c>
      <c r="H10" t="s">
        <v>2281</v>
      </c>
      <c r="I10" t="str">
        <f>HYPERLINK("https://zfin.org/ZDB-GENE-050220-15")</f>
        <v>https://zfin.org/ZDB-GENE-050220-15</v>
      </c>
      <c r="J10" t="s">
        <v>2280</v>
      </c>
    </row>
    <row r="11" spans="1:10" x14ac:dyDescent="0.2">
      <c r="A11">
        <v>1.2530235973023401E-73</v>
      </c>
      <c r="B11">
        <v>-1.27087645177419</v>
      </c>
      <c r="C11">
        <v>2.5000000000000001E-2</v>
      </c>
      <c r="D11">
        <v>0.44500000000000001</v>
      </c>
      <c r="E11">
        <v>1.9400564357032101E-69</v>
      </c>
      <c r="F11" t="s">
        <v>2278</v>
      </c>
      <c r="G11" t="s">
        <v>2279</v>
      </c>
      <c r="H11" t="s">
        <v>2278</v>
      </c>
      <c r="I11" t="str">
        <f>HYPERLINK("https://zfin.org/ZDB-GENE-030515-3")</f>
        <v>https://zfin.org/ZDB-GENE-030515-3</v>
      </c>
      <c r="J11" t="s">
        <v>2277</v>
      </c>
    </row>
    <row r="12" spans="1:10" x14ac:dyDescent="0.2">
      <c r="A12">
        <v>2.0317021292762201E-73</v>
      </c>
      <c r="B12">
        <v>-1.32102924453863</v>
      </c>
      <c r="C12">
        <v>8.9999999999999993E-3</v>
      </c>
      <c r="D12">
        <v>0.37</v>
      </c>
      <c r="E12">
        <v>3.1456844067583801E-69</v>
      </c>
      <c r="F12" t="s">
        <v>2275</v>
      </c>
      <c r="G12" t="s">
        <v>2276</v>
      </c>
      <c r="H12" t="s">
        <v>2275</v>
      </c>
      <c r="I12" t="str">
        <f>HYPERLINK("https://zfin.org/ZDB-GENE-030131-2453")</f>
        <v>https://zfin.org/ZDB-GENE-030131-2453</v>
      </c>
      <c r="J12" t="s">
        <v>2274</v>
      </c>
    </row>
    <row r="13" spans="1:10" x14ac:dyDescent="0.2">
      <c r="A13">
        <v>2.6215366994002699E-73</v>
      </c>
      <c r="B13">
        <v>-0.93560903559766495</v>
      </c>
      <c r="C13">
        <v>1.2E-2</v>
      </c>
      <c r="D13">
        <v>0.38700000000000001</v>
      </c>
      <c r="E13">
        <v>4.0589252716814398E-69</v>
      </c>
      <c r="F13" t="s">
        <v>2272</v>
      </c>
      <c r="G13" t="s">
        <v>2273</v>
      </c>
      <c r="H13" t="s">
        <v>2272</v>
      </c>
      <c r="I13" t="str">
        <f>HYPERLINK("https://zfin.org/ZDB-GENE-020419-40")</f>
        <v>https://zfin.org/ZDB-GENE-020419-40</v>
      </c>
      <c r="J13" t="s">
        <v>2271</v>
      </c>
    </row>
    <row r="14" spans="1:10" x14ac:dyDescent="0.2">
      <c r="A14">
        <v>3.8228594097083698E-72</v>
      </c>
      <c r="B14">
        <v>-0.99325362822035501</v>
      </c>
      <c r="C14">
        <v>8.9999999999999993E-3</v>
      </c>
      <c r="D14">
        <v>0.36399999999999999</v>
      </c>
      <c r="E14">
        <v>5.9189332240514703E-68</v>
      </c>
      <c r="F14" t="s">
        <v>2269</v>
      </c>
      <c r="G14" t="s">
        <v>2270</v>
      </c>
      <c r="H14" t="s">
        <v>2269</v>
      </c>
      <c r="I14" t="str">
        <f>HYPERLINK("https://zfin.org/ZDB-GENE-020418-1")</f>
        <v>https://zfin.org/ZDB-GENE-020418-1</v>
      </c>
      <c r="J14" t="s">
        <v>2268</v>
      </c>
    </row>
    <row r="15" spans="1:10" x14ac:dyDescent="0.2">
      <c r="A15">
        <v>5.4319442327609302E-71</v>
      </c>
      <c r="B15">
        <v>-1.42971937784679</v>
      </c>
      <c r="C15">
        <v>1.9E-2</v>
      </c>
      <c r="D15">
        <v>0.40500000000000003</v>
      </c>
      <c r="E15">
        <v>8.4102792555837405E-67</v>
      </c>
      <c r="F15" t="s">
        <v>2266</v>
      </c>
      <c r="G15" t="s">
        <v>2267</v>
      </c>
      <c r="H15" t="s">
        <v>2266</v>
      </c>
      <c r="I15" t="str">
        <f>HYPERLINK("https://zfin.org/ZDB-GENE-010320-1")</f>
        <v>https://zfin.org/ZDB-GENE-010320-1</v>
      </c>
      <c r="J15" t="s">
        <v>2265</v>
      </c>
    </row>
    <row r="16" spans="1:10" x14ac:dyDescent="0.2">
      <c r="A16">
        <v>2.7802051878232999E-70</v>
      </c>
      <c r="B16">
        <v>-1.08415771587382</v>
      </c>
      <c r="C16">
        <v>0.02</v>
      </c>
      <c r="D16">
        <v>0.41</v>
      </c>
      <c r="E16">
        <v>4.3045916923068102E-66</v>
      </c>
      <c r="F16" t="s">
        <v>2263</v>
      </c>
      <c r="G16" t="s">
        <v>2264</v>
      </c>
      <c r="H16" t="s">
        <v>2263</v>
      </c>
      <c r="I16" t="str">
        <f>HYPERLINK("https://zfin.org/ZDB-GENE-030804-11")</f>
        <v>https://zfin.org/ZDB-GENE-030804-11</v>
      </c>
      <c r="J16" t="s">
        <v>2262</v>
      </c>
    </row>
    <row r="17" spans="1:10" x14ac:dyDescent="0.2">
      <c r="A17">
        <v>4.8488100085811201E-70</v>
      </c>
      <c r="B17">
        <v>-1.17281722700677</v>
      </c>
      <c r="C17">
        <v>2.1999999999999999E-2</v>
      </c>
      <c r="D17">
        <v>0.41599999999999998</v>
      </c>
      <c r="E17">
        <v>7.50741253628615E-66</v>
      </c>
      <c r="F17" t="s">
        <v>2260</v>
      </c>
      <c r="G17" t="s">
        <v>2261</v>
      </c>
      <c r="H17" t="s">
        <v>2260</v>
      </c>
      <c r="I17" t="str">
        <f>HYPERLINK("https://zfin.org/ZDB-GENE-040801-112")</f>
        <v>https://zfin.org/ZDB-GENE-040801-112</v>
      </c>
      <c r="J17" t="s">
        <v>2259</v>
      </c>
    </row>
    <row r="18" spans="1:10" x14ac:dyDescent="0.2">
      <c r="A18">
        <v>7.8928137337963501E-69</v>
      </c>
      <c r="B18">
        <v>-1.87738656286718</v>
      </c>
      <c r="C18">
        <v>2.1000000000000001E-2</v>
      </c>
      <c r="D18">
        <v>0.40500000000000003</v>
      </c>
      <c r="E18">
        <v>1.2220443504036899E-64</v>
      </c>
      <c r="F18" t="s">
        <v>2258</v>
      </c>
      <c r="G18" t="s">
        <v>2257</v>
      </c>
      <c r="H18" t="s">
        <v>2256</v>
      </c>
      <c r="I18" t="str">
        <f>HYPERLINK("https://zfin.org/ZDB-GENE-990415-25")</f>
        <v>https://zfin.org/ZDB-GENE-990415-25</v>
      </c>
      <c r="J18" t="s">
        <v>2255</v>
      </c>
    </row>
    <row r="19" spans="1:10" x14ac:dyDescent="0.2">
      <c r="A19">
        <v>7.1642769700507597E-67</v>
      </c>
      <c r="B19">
        <v>-1.1685311898761701</v>
      </c>
      <c r="C19">
        <v>3.6999999999999998E-2</v>
      </c>
      <c r="D19">
        <v>0.45700000000000002</v>
      </c>
      <c r="E19">
        <v>1.10924500327296E-62</v>
      </c>
      <c r="F19" t="s">
        <v>2253</v>
      </c>
      <c r="G19" t="s">
        <v>2254</v>
      </c>
      <c r="H19" t="s">
        <v>2253</v>
      </c>
      <c r="I19" t="str">
        <f>HYPERLINK("https://zfin.org/ZDB-GENE-990415-247")</f>
        <v>https://zfin.org/ZDB-GENE-990415-247</v>
      </c>
      <c r="J19" t="s">
        <v>2252</v>
      </c>
    </row>
    <row r="20" spans="1:10" x14ac:dyDescent="0.2">
      <c r="A20">
        <v>1.9275176763034799E-66</v>
      </c>
      <c r="B20">
        <v>-0.79637614834564296</v>
      </c>
      <c r="C20">
        <v>2E-3</v>
      </c>
      <c r="D20">
        <v>0.30099999999999999</v>
      </c>
      <c r="E20">
        <v>2.9843756182206798E-62</v>
      </c>
      <c r="F20" t="s">
        <v>2250</v>
      </c>
      <c r="G20" t="s">
        <v>2251</v>
      </c>
      <c r="H20" t="s">
        <v>2250</v>
      </c>
      <c r="I20" t="str">
        <f>HYPERLINK("https://zfin.org/ZDB-GENE-041024-3")</f>
        <v>https://zfin.org/ZDB-GENE-041024-3</v>
      </c>
      <c r="J20" t="s">
        <v>2249</v>
      </c>
    </row>
    <row r="21" spans="1:10" x14ac:dyDescent="0.2">
      <c r="A21">
        <v>3.4596851487641299E-66</v>
      </c>
      <c r="B21">
        <v>-0.79339098110499995</v>
      </c>
      <c r="C21">
        <v>3.0000000000000001E-3</v>
      </c>
      <c r="D21">
        <v>0.30599999999999999</v>
      </c>
      <c r="E21">
        <v>5.3566305158314997E-62</v>
      </c>
      <c r="F21" t="s">
        <v>2247</v>
      </c>
      <c r="G21" t="s">
        <v>2248</v>
      </c>
      <c r="H21" t="s">
        <v>2247</v>
      </c>
      <c r="I21" t="str">
        <f>HYPERLINK("https://zfin.org/")</f>
        <v>https://zfin.org/</v>
      </c>
      <c r="J21" t="s">
        <v>2246</v>
      </c>
    </row>
    <row r="22" spans="1:10" x14ac:dyDescent="0.2">
      <c r="A22">
        <v>5.8084788184154604E-66</v>
      </c>
      <c r="B22">
        <v>-1.4922028707566799</v>
      </c>
      <c r="C22">
        <v>0.05</v>
      </c>
      <c r="D22">
        <v>0.49099999999999999</v>
      </c>
      <c r="E22">
        <v>8.9932677545526596E-62</v>
      </c>
      <c r="F22" t="s">
        <v>2244</v>
      </c>
      <c r="G22" t="s">
        <v>2245</v>
      </c>
      <c r="H22" t="s">
        <v>2244</v>
      </c>
      <c r="I22" t="str">
        <f>HYPERLINK("https://zfin.org/")</f>
        <v>https://zfin.org/</v>
      </c>
      <c r="J22" t="s">
        <v>2243</v>
      </c>
    </row>
    <row r="23" spans="1:10" x14ac:dyDescent="0.2">
      <c r="A23">
        <v>1.5168967270990799E-65</v>
      </c>
      <c r="B23">
        <v>-0.80771593809267295</v>
      </c>
      <c r="C23">
        <v>1.2999999999999999E-2</v>
      </c>
      <c r="D23">
        <v>0.35799999999999998</v>
      </c>
      <c r="E23">
        <v>2.3486112025675102E-61</v>
      </c>
      <c r="F23" t="s">
        <v>2241</v>
      </c>
      <c r="G23" t="s">
        <v>2242</v>
      </c>
      <c r="H23" t="s">
        <v>2241</v>
      </c>
      <c r="I23" t="str">
        <f>HYPERLINK("https://zfin.org/ZDB-GENE-050506-32")</f>
        <v>https://zfin.org/ZDB-GENE-050506-32</v>
      </c>
      <c r="J23" t="s">
        <v>2240</v>
      </c>
    </row>
    <row r="24" spans="1:10" x14ac:dyDescent="0.2">
      <c r="A24">
        <v>3.9269140571905503E-65</v>
      </c>
      <c r="B24">
        <v>-1.8295731851334101</v>
      </c>
      <c r="C24">
        <v>0.56999999999999995</v>
      </c>
      <c r="D24">
        <v>0.92500000000000004</v>
      </c>
      <c r="E24">
        <v>6.0800410347481203E-61</v>
      </c>
      <c r="F24" t="s">
        <v>2238</v>
      </c>
      <c r="G24" t="s">
        <v>2239</v>
      </c>
      <c r="H24" t="s">
        <v>2238</v>
      </c>
      <c r="I24" t="str">
        <f>HYPERLINK("https://zfin.org/ZDB-GENE-030131-8625")</f>
        <v>https://zfin.org/ZDB-GENE-030131-8625</v>
      </c>
      <c r="J24" t="s">
        <v>2237</v>
      </c>
    </row>
    <row r="25" spans="1:10" x14ac:dyDescent="0.2">
      <c r="A25">
        <v>1.8636640967398999E-62</v>
      </c>
      <c r="B25">
        <v>-1.0971105906185501</v>
      </c>
      <c r="C25">
        <v>4.1000000000000002E-2</v>
      </c>
      <c r="D25">
        <v>0.45700000000000002</v>
      </c>
      <c r="E25">
        <v>2.88551112098239E-58</v>
      </c>
      <c r="F25" t="s">
        <v>2235</v>
      </c>
      <c r="G25" t="s">
        <v>2236</v>
      </c>
      <c r="H25" t="s">
        <v>2235</v>
      </c>
      <c r="I25" t="str">
        <f>HYPERLINK("https://zfin.org/ZDB-GENE-040426-987")</f>
        <v>https://zfin.org/ZDB-GENE-040426-987</v>
      </c>
      <c r="J25" t="s">
        <v>2234</v>
      </c>
    </row>
    <row r="26" spans="1:10" x14ac:dyDescent="0.2">
      <c r="A26">
        <v>1.77531630914414E-61</v>
      </c>
      <c r="B26">
        <v>-0.80092856875819196</v>
      </c>
      <c r="C26">
        <v>1.0999999999999999E-2</v>
      </c>
      <c r="D26">
        <v>0.32900000000000001</v>
      </c>
      <c r="E26">
        <v>2.7487222414478703E-57</v>
      </c>
      <c r="F26" t="s">
        <v>2232</v>
      </c>
      <c r="G26" t="s">
        <v>2233</v>
      </c>
      <c r="H26" t="s">
        <v>2232</v>
      </c>
      <c r="I26" t="str">
        <f>HYPERLINK("https://zfin.org/ZDB-GENE-030131-105")</f>
        <v>https://zfin.org/ZDB-GENE-030131-105</v>
      </c>
      <c r="J26" t="s">
        <v>2231</v>
      </c>
    </row>
    <row r="27" spans="1:10" x14ac:dyDescent="0.2">
      <c r="A27">
        <v>1.8623129156213501E-61</v>
      </c>
      <c r="B27">
        <v>-1.1986956761645799</v>
      </c>
      <c r="C27">
        <v>7.6999999999999999E-2</v>
      </c>
      <c r="D27">
        <v>0.54900000000000004</v>
      </c>
      <c r="E27">
        <v>2.8834190872565401E-57</v>
      </c>
      <c r="F27" t="s">
        <v>2229</v>
      </c>
      <c r="G27" t="s">
        <v>2230</v>
      </c>
      <c r="H27" t="s">
        <v>2229</v>
      </c>
      <c r="I27" t="str">
        <f>HYPERLINK("https://zfin.org/ZDB-GENE-141212-376")</f>
        <v>https://zfin.org/ZDB-GENE-141212-376</v>
      </c>
      <c r="J27" t="s">
        <v>2228</v>
      </c>
    </row>
    <row r="28" spans="1:10" x14ac:dyDescent="0.2">
      <c r="A28">
        <v>2.45721033015592E-61</v>
      </c>
      <c r="B28">
        <v>-1.1067660754204101</v>
      </c>
      <c r="C28">
        <v>1.0999999999999999E-2</v>
      </c>
      <c r="D28">
        <v>0.32900000000000001</v>
      </c>
      <c r="E28">
        <v>3.8044987541804098E-57</v>
      </c>
      <c r="F28" t="s">
        <v>2226</v>
      </c>
      <c r="G28" t="s">
        <v>2227</v>
      </c>
      <c r="H28" t="s">
        <v>2226</v>
      </c>
      <c r="I28" t="str">
        <f>HYPERLINK("https://zfin.org/ZDB-GENE-131121-114")</f>
        <v>https://zfin.org/ZDB-GENE-131121-114</v>
      </c>
      <c r="J28" t="s">
        <v>2225</v>
      </c>
    </row>
    <row r="29" spans="1:10" x14ac:dyDescent="0.2">
      <c r="A29">
        <v>6.7382218489306503E-60</v>
      </c>
      <c r="B29">
        <v>-1.61906563147143</v>
      </c>
      <c r="C29">
        <v>0.621</v>
      </c>
      <c r="D29">
        <v>0.94199999999999995</v>
      </c>
      <c r="E29">
        <v>1.0432788888699299E-55</v>
      </c>
      <c r="F29" t="s">
        <v>2223</v>
      </c>
      <c r="G29" t="s">
        <v>2224</v>
      </c>
      <c r="H29" t="s">
        <v>2223</v>
      </c>
      <c r="I29" t="str">
        <f>HYPERLINK("https://zfin.org/ZDB-GENE-040912-122")</f>
        <v>https://zfin.org/ZDB-GENE-040912-122</v>
      </c>
      <c r="J29" t="s">
        <v>2222</v>
      </c>
    </row>
    <row r="30" spans="1:10" x14ac:dyDescent="0.2">
      <c r="A30">
        <v>1.7204204459692999E-59</v>
      </c>
      <c r="B30">
        <v>-0.97309209537861596</v>
      </c>
      <c r="C30">
        <v>3.5000000000000003E-2</v>
      </c>
      <c r="D30">
        <v>0.42199999999999999</v>
      </c>
      <c r="E30">
        <v>2.6637269764942599E-55</v>
      </c>
      <c r="F30" t="s">
        <v>2220</v>
      </c>
      <c r="G30" t="s">
        <v>2221</v>
      </c>
      <c r="H30" t="s">
        <v>2220</v>
      </c>
      <c r="I30" t="str">
        <f>HYPERLINK("https://zfin.org/ZDB-GENE-010131-3")</f>
        <v>https://zfin.org/ZDB-GENE-010131-3</v>
      </c>
      <c r="J30" t="s">
        <v>2219</v>
      </c>
    </row>
    <row r="31" spans="1:10" x14ac:dyDescent="0.2">
      <c r="A31">
        <v>2.42312803171491E-59</v>
      </c>
      <c r="B31">
        <v>-1.48156585302583</v>
      </c>
      <c r="C31">
        <v>0.47</v>
      </c>
      <c r="D31">
        <v>0.93100000000000005</v>
      </c>
      <c r="E31">
        <v>3.7517291315041903E-55</v>
      </c>
      <c r="F31" t="s">
        <v>1020</v>
      </c>
      <c r="G31" t="s">
        <v>1021</v>
      </c>
      <c r="H31" t="s">
        <v>1020</v>
      </c>
      <c r="I31" t="str">
        <f>HYPERLINK("https://zfin.org/ZDB-GENE-030131-247")</f>
        <v>https://zfin.org/ZDB-GENE-030131-247</v>
      </c>
      <c r="J31" t="s">
        <v>1019</v>
      </c>
    </row>
    <row r="32" spans="1:10" x14ac:dyDescent="0.2">
      <c r="A32">
        <v>4.6035196605315596E-59</v>
      </c>
      <c r="B32">
        <v>-0.90796497337731896</v>
      </c>
      <c r="C32">
        <v>1.9E-2</v>
      </c>
      <c r="D32">
        <v>0.35799999999999998</v>
      </c>
      <c r="E32">
        <v>7.1276294904010203E-55</v>
      </c>
      <c r="F32" t="s">
        <v>2217</v>
      </c>
      <c r="G32" t="s">
        <v>2218</v>
      </c>
      <c r="H32" t="s">
        <v>2217</v>
      </c>
      <c r="I32" t="str">
        <f>HYPERLINK("https://zfin.org/ZDB-GENE-040426-59")</f>
        <v>https://zfin.org/ZDB-GENE-040426-59</v>
      </c>
      <c r="J32" t="s">
        <v>2216</v>
      </c>
    </row>
    <row r="33" spans="1:10" x14ac:dyDescent="0.2">
      <c r="A33">
        <v>6.9733605284334901E-58</v>
      </c>
      <c r="B33">
        <v>-1.04508800540699</v>
      </c>
      <c r="C33">
        <v>6.7000000000000004E-2</v>
      </c>
      <c r="D33">
        <v>0.50900000000000001</v>
      </c>
      <c r="E33">
        <v>1.0796854106173599E-53</v>
      </c>
      <c r="F33" t="s">
        <v>2214</v>
      </c>
      <c r="G33" t="s">
        <v>2215</v>
      </c>
      <c r="H33" t="s">
        <v>2214</v>
      </c>
      <c r="I33" t="str">
        <f>HYPERLINK("https://zfin.org/ZDB-GENE-030131-5366")</f>
        <v>https://zfin.org/ZDB-GENE-030131-5366</v>
      </c>
      <c r="J33" t="s">
        <v>2213</v>
      </c>
    </row>
    <row r="34" spans="1:10" x14ac:dyDescent="0.2">
      <c r="A34">
        <v>8.34253102792475E-57</v>
      </c>
      <c r="B34">
        <v>-0.54598820754825805</v>
      </c>
      <c r="C34">
        <v>3.0000000000000001E-3</v>
      </c>
      <c r="D34">
        <v>0.26600000000000001</v>
      </c>
      <c r="E34">
        <v>1.29167407905359E-52</v>
      </c>
      <c r="F34" t="s">
        <v>2211</v>
      </c>
      <c r="G34" t="s">
        <v>2212</v>
      </c>
      <c r="H34" t="s">
        <v>2211</v>
      </c>
      <c r="I34" t="str">
        <f>HYPERLINK("https://zfin.org/ZDB-GENE-030131-235")</f>
        <v>https://zfin.org/ZDB-GENE-030131-235</v>
      </c>
      <c r="J34" t="s">
        <v>2210</v>
      </c>
    </row>
    <row r="35" spans="1:10" x14ac:dyDescent="0.2">
      <c r="A35">
        <v>1.4068748081440499E-56</v>
      </c>
      <c r="B35">
        <v>-0.63032573208586595</v>
      </c>
      <c r="C35">
        <v>7.0000000000000001E-3</v>
      </c>
      <c r="D35">
        <v>0.28899999999999998</v>
      </c>
      <c r="E35">
        <v>2.1782642654494401E-52</v>
      </c>
      <c r="F35" t="s">
        <v>2208</v>
      </c>
      <c r="G35" t="s">
        <v>2209</v>
      </c>
      <c r="H35" t="s">
        <v>2208</v>
      </c>
      <c r="I35" t="str">
        <f>HYPERLINK("https://zfin.org/ZDB-GENE-050522-456")</f>
        <v>https://zfin.org/ZDB-GENE-050522-456</v>
      </c>
      <c r="J35" t="s">
        <v>2207</v>
      </c>
    </row>
    <row r="36" spans="1:10" x14ac:dyDescent="0.2">
      <c r="A36">
        <v>1.60435310834517E-56</v>
      </c>
      <c r="B36">
        <v>-0.66914153043080005</v>
      </c>
      <c r="C36">
        <v>8.0000000000000002E-3</v>
      </c>
      <c r="D36">
        <v>0.29499999999999998</v>
      </c>
      <c r="E36">
        <v>2.48401991765083E-52</v>
      </c>
      <c r="F36" t="s">
        <v>2205</v>
      </c>
      <c r="G36" t="s">
        <v>2206</v>
      </c>
      <c r="H36" t="s">
        <v>2205</v>
      </c>
      <c r="I36" t="str">
        <f>HYPERLINK("https://zfin.org/ZDB-GENE-060810-13")</f>
        <v>https://zfin.org/ZDB-GENE-060810-13</v>
      </c>
      <c r="J36" t="s">
        <v>2204</v>
      </c>
    </row>
    <row r="37" spans="1:10" x14ac:dyDescent="0.2">
      <c r="A37">
        <v>1.0694098430103901E-55</v>
      </c>
      <c r="B37">
        <v>-0.81037861194899297</v>
      </c>
      <c r="C37">
        <v>0.01</v>
      </c>
      <c r="D37">
        <v>0.30099999999999999</v>
      </c>
      <c r="E37">
        <v>1.65576725993299E-51</v>
      </c>
      <c r="F37" t="s">
        <v>2202</v>
      </c>
      <c r="G37" t="s">
        <v>2203</v>
      </c>
      <c r="H37" t="s">
        <v>2202</v>
      </c>
      <c r="I37" t="str">
        <f>HYPERLINK("https://zfin.org/ZDB-GENE-050506-59")</f>
        <v>https://zfin.org/ZDB-GENE-050506-59</v>
      </c>
      <c r="J37" t="s">
        <v>2201</v>
      </c>
    </row>
    <row r="38" spans="1:10" x14ac:dyDescent="0.2">
      <c r="A38">
        <v>1.2542246647515399E-53</v>
      </c>
      <c r="B38">
        <v>-0.88291670062092398</v>
      </c>
      <c r="C38">
        <v>4.9000000000000002E-2</v>
      </c>
      <c r="D38">
        <v>0.44500000000000001</v>
      </c>
      <c r="E38">
        <v>1.9419160484348201E-49</v>
      </c>
      <c r="F38" t="s">
        <v>2199</v>
      </c>
      <c r="G38" t="s">
        <v>2200</v>
      </c>
      <c r="H38" t="s">
        <v>2199</v>
      </c>
      <c r="I38" t="str">
        <f>HYPERLINK("https://zfin.org/ZDB-GENE-030131-5511")</f>
        <v>https://zfin.org/ZDB-GENE-030131-5511</v>
      </c>
      <c r="J38" t="s">
        <v>2198</v>
      </c>
    </row>
    <row r="39" spans="1:10" x14ac:dyDescent="0.2">
      <c r="A39">
        <v>2.8349689975200301E-53</v>
      </c>
      <c r="B39">
        <v>-0.98908267906193703</v>
      </c>
      <c r="C39">
        <v>7.3999999999999996E-2</v>
      </c>
      <c r="D39">
        <v>0.50900000000000001</v>
      </c>
      <c r="E39">
        <v>4.3893824988602698E-49</v>
      </c>
      <c r="F39" t="s">
        <v>2196</v>
      </c>
      <c r="G39" t="s">
        <v>2197</v>
      </c>
      <c r="H39" t="s">
        <v>2196</v>
      </c>
      <c r="I39" t="str">
        <f>HYPERLINK("https://zfin.org/ZDB-GENE-020419-27")</f>
        <v>https://zfin.org/ZDB-GENE-020419-27</v>
      </c>
      <c r="J39" t="s">
        <v>2195</v>
      </c>
    </row>
    <row r="40" spans="1:10" x14ac:dyDescent="0.2">
      <c r="A40">
        <v>3.8896489536635399E-53</v>
      </c>
      <c r="B40">
        <v>-1.2367566306390201</v>
      </c>
      <c r="C40">
        <v>0.112</v>
      </c>
      <c r="D40">
        <v>0.58399999999999996</v>
      </c>
      <c r="E40">
        <v>6.0223434749572601E-49</v>
      </c>
      <c r="F40" t="s">
        <v>2193</v>
      </c>
      <c r="G40" t="s">
        <v>2194</v>
      </c>
      <c r="H40" t="s">
        <v>2193</v>
      </c>
      <c r="I40" t="str">
        <f>HYPERLINK("https://zfin.org/ZDB-GENE-040426-977")</f>
        <v>https://zfin.org/ZDB-GENE-040426-977</v>
      </c>
      <c r="J40" t="s">
        <v>2192</v>
      </c>
    </row>
    <row r="41" spans="1:10" x14ac:dyDescent="0.2">
      <c r="A41">
        <v>1.31686940406841E-52</v>
      </c>
      <c r="B41">
        <v>-0.67982572463763002</v>
      </c>
      <c r="C41">
        <v>0.01</v>
      </c>
      <c r="D41">
        <v>0.28899999999999998</v>
      </c>
      <c r="E41">
        <v>2.0389088983191301E-48</v>
      </c>
      <c r="F41" t="s">
        <v>2190</v>
      </c>
      <c r="G41" t="s">
        <v>2191</v>
      </c>
      <c r="H41" t="s">
        <v>2190</v>
      </c>
      <c r="I41" t="str">
        <f>HYPERLINK("https://zfin.org/ZDB-GENE-020419-21")</f>
        <v>https://zfin.org/ZDB-GENE-020419-21</v>
      </c>
      <c r="J41" t="s">
        <v>2189</v>
      </c>
    </row>
    <row r="42" spans="1:10" x14ac:dyDescent="0.2">
      <c r="A42">
        <v>9.3601732302842002E-52</v>
      </c>
      <c r="B42">
        <v>-1.32489544313773</v>
      </c>
      <c r="C42">
        <v>0.245</v>
      </c>
      <c r="D42">
        <v>0.74</v>
      </c>
      <c r="E42">
        <v>1.4492356212449001E-47</v>
      </c>
      <c r="F42" t="s">
        <v>2187</v>
      </c>
      <c r="G42" t="s">
        <v>2188</v>
      </c>
      <c r="H42" t="s">
        <v>2187</v>
      </c>
      <c r="I42" t="str">
        <f>HYPERLINK("https://zfin.org/ZDB-GENE-060503-618")</f>
        <v>https://zfin.org/ZDB-GENE-060503-618</v>
      </c>
      <c r="J42" t="s">
        <v>2186</v>
      </c>
    </row>
    <row r="43" spans="1:10" x14ac:dyDescent="0.2">
      <c r="A43">
        <v>1.8634913020769401E-51</v>
      </c>
      <c r="B43">
        <v>-0.72858379748365498</v>
      </c>
      <c r="C43">
        <v>7.0000000000000001E-3</v>
      </c>
      <c r="D43">
        <v>0.26600000000000001</v>
      </c>
      <c r="E43">
        <v>2.8852435830057199E-47</v>
      </c>
      <c r="F43" t="s">
        <v>2184</v>
      </c>
      <c r="G43" t="s">
        <v>2185</v>
      </c>
      <c r="H43" t="s">
        <v>2184</v>
      </c>
      <c r="I43" t="str">
        <f>HYPERLINK("https://zfin.org/ZDB-GENE-000208-21")</f>
        <v>https://zfin.org/ZDB-GENE-000208-21</v>
      </c>
      <c r="J43" t="s">
        <v>2183</v>
      </c>
    </row>
    <row r="44" spans="1:10" x14ac:dyDescent="0.2">
      <c r="A44">
        <v>1.7560018551044001E-50</v>
      </c>
      <c r="B44">
        <v>-0.67619871370738405</v>
      </c>
      <c r="C44">
        <v>1.7999999999999999E-2</v>
      </c>
      <c r="D44">
        <v>0.318</v>
      </c>
      <c r="E44">
        <v>2.7188176722581398E-46</v>
      </c>
      <c r="F44" t="s">
        <v>2181</v>
      </c>
      <c r="G44" t="s">
        <v>2182</v>
      </c>
      <c r="H44" t="s">
        <v>2181</v>
      </c>
      <c r="I44" t="str">
        <f>HYPERLINK("https://zfin.org/ZDB-GENE-040426-2286")</f>
        <v>https://zfin.org/ZDB-GENE-040426-2286</v>
      </c>
      <c r="J44" t="s">
        <v>2180</v>
      </c>
    </row>
    <row r="45" spans="1:10" x14ac:dyDescent="0.2">
      <c r="A45">
        <v>2.29030817094476E-50</v>
      </c>
      <c r="B45">
        <v>-0.72622472788330505</v>
      </c>
      <c r="C45">
        <v>1.6E-2</v>
      </c>
      <c r="D45">
        <v>0.30599999999999999</v>
      </c>
      <c r="E45">
        <v>3.5460841410737799E-46</v>
      </c>
      <c r="F45" t="s">
        <v>2178</v>
      </c>
      <c r="G45" t="s">
        <v>2179</v>
      </c>
      <c r="H45" t="s">
        <v>2178</v>
      </c>
      <c r="I45" t="str">
        <f>HYPERLINK("https://zfin.org/ZDB-GENE-061013-547")</f>
        <v>https://zfin.org/ZDB-GENE-061013-547</v>
      </c>
      <c r="J45" t="s">
        <v>2177</v>
      </c>
    </row>
    <row r="46" spans="1:10" x14ac:dyDescent="0.2">
      <c r="A46">
        <v>2.3325849631267798E-50</v>
      </c>
      <c r="B46">
        <v>-1.3383383697020199</v>
      </c>
      <c r="C46">
        <v>1.4999999999999999E-2</v>
      </c>
      <c r="D46">
        <v>0.30099999999999999</v>
      </c>
      <c r="E46">
        <v>3.6115412984091997E-46</v>
      </c>
      <c r="F46" t="s">
        <v>836</v>
      </c>
      <c r="G46" t="s">
        <v>837</v>
      </c>
      <c r="H46" t="s">
        <v>836</v>
      </c>
      <c r="I46" t="str">
        <f>HYPERLINK("https://zfin.org/ZDB-GENE-040426-2321")</f>
        <v>https://zfin.org/ZDB-GENE-040426-2321</v>
      </c>
      <c r="J46" t="s">
        <v>835</v>
      </c>
    </row>
    <row r="47" spans="1:10" x14ac:dyDescent="0.2">
      <c r="A47">
        <v>3.5284620478977799E-50</v>
      </c>
      <c r="B47">
        <v>-1.1544581190971801</v>
      </c>
      <c r="C47">
        <v>0.13100000000000001</v>
      </c>
      <c r="D47">
        <v>0.59</v>
      </c>
      <c r="E47">
        <v>5.4631177887601399E-46</v>
      </c>
      <c r="F47" t="s">
        <v>2175</v>
      </c>
      <c r="G47" t="s">
        <v>2176</v>
      </c>
      <c r="H47" t="s">
        <v>2175</v>
      </c>
      <c r="I47" t="str">
        <f>HYPERLINK("https://zfin.org/ZDB-GENE-030131-445")</f>
        <v>https://zfin.org/ZDB-GENE-030131-445</v>
      </c>
      <c r="J47" t="s">
        <v>2174</v>
      </c>
    </row>
    <row r="48" spans="1:10" x14ac:dyDescent="0.2">
      <c r="A48">
        <v>4.7982135213897803E-50</v>
      </c>
      <c r="B48">
        <v>-0.770688610174601</v>
      </c>
      <c r="C48">
        <v>4.0000000000000001E-3</v>
      </c>
      <c r="D48">
        <v>0.24299999999999999</v>
      </c>
      <c r="E48">
        <v>7.4290739951677997E-46</v>
      </c>
      <c r="F48" t="s">
        <v>2172</v>
      </c>
      <c r="G48" t="s">
        <v>2173</v>
      </c>
      <c r="H48" t="s">
        <v>2172</v>
      </c>
      <c r="I48" t="str">
        <f>HYPERLINK("https://zfin.org/ZDB-GENE-020426-1")</f>
        <v>https://zfin.org/ZDB-GENE-020426-1</v>
      </c>
      <c r="J48" t="s">
        <v>2171</v>
      </c>
    </row>
    <row r="49" spans="1:10" x14ac:dyDescent="0.2">
      <c r="A49">
        <v>5.6646801127964399E-50</v>
      </c>
      <c r="B49">
        <v>-0.69824204420398905</v>
      </c>
      <c r="C49">
        <v>8.0000000000000002E-3</v>
      </c>
      <c r="D49">
        <v>0.26600000000000001</v>
      </c>
      <c r="E49">
        <v>8.7706242186427295E-46</v>
      </c>
      <c r="F49" t="s">
        <v>2169</v>
      </c>
      <c r="G49" t="s">
        <v>2170</v>
      </c>
      <c r="H49" t="s">
        <v>2169</v>
      </c>
      <c r="I49" t="str">
        <f>HYPERLINK("https://zfin.org/ZDB-GENE-040912-160")</f>
        <v>https://zfin.org/ZDB-GENE-040912-160</v>
      </c>
      <c r="J49" t="s">
        <v>2168</v>
      </c>
    </row>
    <row r="50" spans="1:10" x14ac:dyDescent="0.2">
      <c r="A50">
        <v>6.4452930352659902E-50</v>
      </c>
      <c r="B50">
        <v>-0.76683052064118196</v>
      </c>
      <c r="C50">
        <v>6.0000000000000001E-3</v>
      </c>
      <c r="D50">
        <v>0.254</v>
      </c>
      <c r="E50">
        <v>9.9792472065023292E-46</v>
      </c>
      <c r="F50" t="s">
        <v>2166</v>
      </c>
      <c r="G50" t="s">
        <v>2167</v>
      </c>
      <c r="H50" t="s">
        <v>2166</v>
      </c>
      <c r="I50" t="str">
        <f>HYPERLINK("https://zfin.org/ZDB-GENE-030131-9652")</f>
        <v>https://zfin.org/ZDB-GENE-030131-9652</v>
      </c>
      <c r="J50" t="s">
        <v>2165</v>
      </c>
    </row>
    <row r="51" spans="1:10" x14ac:dyDescent="0.2">
      <c r="A51">
        <v>5.5154421881296401E-49</v>
      </c>
      <c r="B51">
        <v>-0.50830895842345003</v>
      </c>
      <c r="C51">
        <v>2E-3</v>
      </c>
      <c r="D51">
        <v>0.22500000000000001</v>
      </c>
      <c r="E51">
        <v>8.5395591398811199E-45</v>
      </c>
      <c r="F51" t="s">
        <v>2163</v>
      </c>
      <c r="G51" t="s">
        <v>2164</v>
      </c>
      <c r="H51" t="s">
        <v>2163</v>
      </c>
      <c r="I51" t="str">
        <f>HYPERLINK("https://zfin.org/ZDB-GENE-070112-652")</f>
        <v>https://zfin.org/ZDB-GENE-070112-652</v>
      </c>
      <c r="J51" t="s">
        <v>2162</v>
      </c>
    </row>
    <row r="52" spans="1:10" x14ac:dyDescent="0.2">
      <c r="A52">
        <v>8.98206247925216E-49</v>
      </c>
      <c r="B52">
        <v>-0.61748867087982595</v>
      </c>
      <c r="C52">
        <v>7.0000000000000001E-3</v>
      </c>
      <c r="D52">
        <v>0.254</v>
      </c>
      <c r="E52">
        <v>1.3906927336626099E-44</v>
      </c>
      <c r="F52" t="s">
        <v>2160</v>
      </c>
      <c r="G52" t="s">
        <v>2161</v>
      </c>
      <c r="H52" t="s">
        <v>2160</v>
      </c>
      <c r="I52" t="str">
        <f>HYPERLINK("https://zfin.org/ZDB-GENE-040426-1372")</f>
        <v>https://zfin.org/ZDB-GENE-040426-1372</v>
      </c>
      <c r="J52" t="s">
        <v>2159</v>
      </c>
    </row>
    <row r="53" spans="1:10" x14ac:dyDescent="0.2">
      <c r="A53">
        <v>1.07822881627613E-48</v>
      </c>
      <c r="B53">
        <v>-0.55549781375288398</v>
      </c>
      <c r="C53">
        <v>3.0000000000000001E-3</v>
      </c>
      <c r="D53">
        <v>0.23100000000000001</v>
      </c>
      <c r="E53">
        <v>1.66942167624033E-44</v>
      </c>
      <c r="F53" t="s">
        <v>2157</v>
      </c>
      <c r="G53" t="s">
        <v>2158</v>
      </c>
      <c r="H53" t="s">
        <v>2157</v>
      </c>
      <c r="I53" t="str">
        <f>HYPERLINK("https://zfin.org/ZDB-GENE-081022-187")</f>
        <v>https://zfin.org/ZDB-GENE-081022-187</v>
      </c>
      <c r="J53" t="s">
        <v>2156</v>
      </c>
    </row>
    <row r="54" spans="1:10" x14ac:dyDescent="0.2">
      <c r="A54">
        <v>7.94520944654147E-48</v>
      </c>
      <c r="B54">
        <v>-1.34028118642047</v>
      </c>
      <c r="C54">
        <v>2.4E-2</v>
      </c>
      <c r="D54">
        <v>0.32400000000000001</v>
      </c>
      <c r="E54">
        <v>1.23015677860802E-43</v>
      </c>
      <c r="F54" t="s">
        <v>2154</v>
      </c>
      <c r="G54" t="s">
        <v>2155</v>
      </c>
      <c r="H54" t="s">
        <v>2154</v>
      </c>
      <c r="I54" t="str">
        <f>HYPERLINK("https://zfin.org/ZDB-GENE-051030-48")</f>
        <v>https://zfin.org/ZDB-GENE-051030-48</v>
      </c>
      <c r="J54" t="s">
        <v>2153</v>
      </c>
    </row>
    <row r="55" spans="1:10" x14ac:dyDescent="0.2">
      <c r="A55">
        <v>1.9381786435401599E-47</v>
      </c>
      <c r="B55">
        <v>-0.52365860487768701</v>
      </c>
      <c r="C55">
        <v>5.0000000000000001E-3</v>
      </c>
      <c r="D55">
        <v>0.23699999999999999</v>
      </c>
      <c r="E55">
        <v>3.0008819937932401E-43</v>
      </c>
      <c r="F55" t="s">
        <v>2151</v>
      </c>
      <c r="G55" t="s">
        <v>2152</v>
      </c>
      <c r="H55" t="s">
        <v>2151</v>
      </c>
      <c r="I55" t="str">
        <f>HYPERLINK("https://zfin.org/ZDB-GENE-030523-2")</f>
        <v>https://zfin.org/ZDB-GENE-030523-2</v>
      </c>
      <c r="J55" t="s">
        <v>2150</v>
      </c>
    </row>
    <row r="56" spans="1:10" x14ac:dyDescent="0.2">
      <c r="A56">
        <v>2.6428404750496601E-47</v>
      </c>
      <c r="B56">
        <v>-0.78414498806479604</v>
      </c>
      <c r="C56">
        <v>6.0000000000000001E-3</v>
      </c>
      <c r="D56">
        <v>0.24299999999999999</v>
      </c>
      <c r="E56">
        <v>4.0919099075193899E-43</v>
      </c>
      <c r="F56" t="s">
        <v>2148</v>
      </c>
      <c r="G56" t="s">
        <v>2149</v>
      </c>
      <c r="H56" t="s">
        <v>2148</v>
      </c>
      <c r="I56" t="str">
        <f>HYPERLINK("https://zfin.org/ZDB-GENE-050208-508")</f>
        <v>https://zfin.org/ZDB-GENE-050208-508</v>
      </c>
      <c r="J56" t="s">
        <v>2147</v>
      </c>
    </row>
    <row r="57" spans="1:10" x14ac:dyDescent="0.2">
      <c r="A57">
        <v>7.3689133785431196E-47</v>
      </c>
      <c r="B57">
        <v>-0.55971884904300695</v>
      </c>
      <c r="C57">
        <v>0</v>
      </c>
      <c r="D57">
        <v>0.20200000000000001</v>
      </c>
      <c r="E57">
        <v>1.1409288583998299E-42</v>
      </c>
      <c r="F57" t="s">
        <v>2145</v>
      </c>
      <c r="G57" t="s">
        <v>2146</v>
      </c>
      <c r="H57" t="s">
        <v>2145</v>
      </c>
      <c r="I57" t="str">
        <f>HYPERLINK("https://zfin.org/ZDB-GENE-030131-1917")</f>
        <v>https://zfin.org/ZDB-GENE-030131-1917</v>
      </c>
      <c r="J57" t="s">
        <v>2144</v>
      </c>
    </row>
    <row r="58" spans="1:10" x14ac:dyDescent="0.2">
      <c r="A58">
        <v>3.5530644917411504E-46</v>
      </c>
      <c r="B58">
        <v>-1.1937562276326299</v>
      </c>
      <c r="C58">
        <v>1.6E-2</v>
      </c>
      <c r="D58">
        <v>0.28299999999999997</v>
      </c>
      <c r="E58">
        <v>5.5012097525628203E-42</v>
      </c>
      <c r="F58" t="s">
        <v>2142</v>
      </c>
      <c r="G58" t="s">
        <v>2143</v>
      </c>
      <c r="H58" t="s">
        <v>2142</v>
      </c>
      <c r="I58" t="str">
        <f>HYPERLINK("https://zfin.org/ZDB-GENE-990415-47")</f>
        <v>https://zfin.org/ZDB-GENE-990415-47</v>
      </c>
      <c r="J58" t="s">
        <v>2141</v>
      </c>
    </row>
    <row r="59" spans="1:10" x14ac:dyDescent="0.2">
      <c r="A59">
        <v>6.1678465362112501E-46</v>
      </c>
      <c r="B59">
        <v>-0.52793408765625904</v>
      </c>
      <c r="C59">
        <v>5.0000000000000001E-3</v>
      </c>
      <c r="D59">
        <v>0.23100000000000001</v>
      </c>
      <c r="E59">
        <v>9.54967679201587E-42</v>
      </c>
      <c r="F59" t="s">
        <v>2139</v>
      </c>
      <c r="G59" t="s">
        <v>2140</v>
      </c>
      <c r="H59" t="s">
        <v>2139</v>
      </c>
      <c r="I59" t="str">
        <f>HYPERLINK("https://zfin.org/ZDB-GENE-041111-282")</f>
        <v>https://zfin.org/ZDB-GENE-041111-282</v>
      </c>
      <c r="J59" t="s">
        <v>2138</v>
      </c>
    </row>
    <row r="60" spans="1:10" x14ac:dyDescent="0.2">
      <c r="A60">
        <v>1.8335898450691799E-45</v>
      </c>
      <c r="B60">
        <v>-0.678995349782473</v>
      </c>
      <c r="C60">
        <v>2.7E-2</v>
      </c>
      <c r="D60">
        <v>0.32900000000000001</v>
      </c>
      <c r="E60">
        <v>2.8389471571206201E-41</v>
      </c>
      <c r="F60" t="s">
        <v>2136</v>
      </c>
      <c r="G60" t="s">
        <v>2137</v>
      </c>
      <c r="H60" t="s">
        <v>2136</v>
      </c>
      <c r="I60" t="str">
        <f>HYPERLINK("https://zfin.org/ZDB-GENE-110411-78")</f>
        <v>https://zfin.org/ZDB-GENE-110411-78</v>
      </c>
      <c r="J60" t="s">
        <v>2135</v>
      </c>
    </row>
    <row r="61" spans="1:10" x14ac:dyDescent="0.2">
      <c r="A61">
        <v>3.7123458214433702E-45</v>
      </c>
      <c r="B61">
        <v>-0.90572675929240398</v>
      </c>
      <c r="C61">
        <v>8.9999999999999993E-3</v>
      </c>
      <c r="D61">
        <v>0.249</v>
      </c>
      <c r="E61">
        <v>5.7478250353407598E-41</v>
      </c>
      <c r="F61" t="s">
        <v>2133</v>
      </c>
      <c r="G61" t="s">
        <v>2134</v>
      </c>
      <c r="H61" t="s">
        <v>2133</v>
      </c>
      <c r="I61" t="str">
        <f>HYPERLINK("https://zfin.org/ZDB-GENE-030827-5")</f>
        <v>https://zfin.org/ZDB-GENE-030827-5</v>
      </c>
      <c r="J61" t="s">
        <v>2132</v>
      </c>
    </row>
    <row r="62" spans="1:10" x14ac:dyDescent="0.2">
      <c r="A62">
        <v>5.0828437808579003E-45</v>
      </c>
      <c r="B62">
        <v>-0.75552923775190195</v>
      </c>
      <c r="C62">
        <v>7.0000000000000001E-3</v>
      </c>
      <c r="D62">
        <v>0.23699999999999999</v>
      </c>
      <c r="E62">
        <v>7.8697670259022796E-41</v>
      </c>
      <c r="F62" t="s">
        <v>2130</v>
      </c>
      <c r="G62" t="s">
        <v>2131</v>
      </c>
      <c r="H62" t="s">
        <v>2130</v>
      </c>
      <c r="I62" t="str">
        <f>HYPERLINK("https://zfin.org/ZDB-GENE-021115-7")</f>
        <v>https://zfin.org/ZDB-GENE-021115-7</v>
      </c>
      <c r="J62" t="s">
        <v>2129</v>
      </c>
    </row>
    <row r="63" spans="1:10" x14ac:dyDescent="0.2">
      <c r="A63">
        <v>1.7190930884550001E-44</v>
      </c>
      <c r="B63">
        <v>-0.50296403125737399</v>
      </c>
      <c r="C63">
        <v>6.0000000000000001E-3</v>
      </c>
      <c r="D63">
        <v>0.23100000000000001</v>
      </c>
      <c r="E63">
        <v>2.6616718288548799E-40</v>
      </c>
      <c r="F63" t="s">
        <v>2127</v>
      </c>
      <c r="G63" t="s">
        <v>2128</v>
      </c>
      <c r="H63" t="s">
        <v>2127</v>
      </c>
      <c r="I63" t="str">
        <f>HYPERLINK("https://zfin.org/ZDB-GENE-040426-1558")</f>
        <v>https://zfin.org/ZDB-GENE-040426-1558</v>
      </c>
      <c r="J63" t="s">
        <v>2126</v>
      </c>
    </row>
    <row r="64" spans="1:10" x14ac:dyDescent="0.2">
      <c r="A64">
        <v>2.69367363189059E-44</v>
      </c>
      <c r="B64">
        <v>-0.88773832818465304</v>
      </c>
      <c r="C64">
        <v>3.5999999999999997E-2</v>
      </c>
      <c r="D64">
        <v>0.35299999999999998</v>
      </c>
      <c r="E64">
        <v>4.1706148842562103E-40</v>
      </c>
      <c r="F64" t="s">
        <v>2124</v>
      </c>
      <c r="G64" t="s">
        <v>2125</v>
      </c>
      <c r="H64" t="s">
        <v>2124</v>
      </c>
      <c r="I64" t="str">
        <f>HYPERLINK("https://zfin.org/ZDB-GENE-030131-9686")</f>
        <v>https://zfin.org/ZDB-GENE-030131-9686</v>
      </c>
      <c r="J64" t="s">
        <v>2123</v>
      </c>
    </row>
    <row r="65" spans="1:10" x14ac:dyDescent="0.2">
      <c r="A65">
        <v>3.2971023245271299E-44</v>
      </c>
      <c r="B65">
        <v>-0.47169892757591703</v>
      </c>
      <c r="C65">
        <v>0</v>
      </c>
      <c r="D65">
        <v>0.191</v>
      </c>
      <c r="E65">
        <v>5.1049035290653503E-40</v>
      </c>
      <c r="F65" t="s">
        <v>2121</v>
      </c>
      <c r="G65" t="s">
        <v>2122</v>
      </c>
      <c r="H65" t="s">
        <v>2121</v>
      </c>
      <c r="I65" t="str">
        <f>HYPERLINK("https://zfin.org/ZDB-GENE-040718-435")</f>
        <v>https://zfin.org/ZDB-GENE-040718-435</v>
      </c>
      <c r="J65" t="s">
        <v>2120</v>
      </c>
    </row>
    <row r="66" spans="1:10" x14ac:dyDescent="0.2">
      <c r="A66">
        <v>3.9032054112741002E-44</v>
      </c>
      <c r="B66">
        <v>-1.33209904145777</v>
      </c>
      <c r="C66">
        <v>0.497</v>
      </c>
      <c r="D66">
        <v>0.86099999999999999</v>
      </c>
      <c r="E66">
        <v>6.0433329382756901E-40</v>
      </c>
      <c r="F66" t="s">
        <v>1767</v>
      </c>
      <c r="G66" t="s">
        <v>1768</v>
      </c>
      <c r="H66" t="s">
        <v>1767</v>
      </c>
      <c r="I66" t="str">
        <f>HYPERLINK("https://zfin.org/ZDB-GENE-010502-1")</f>
        <v>https://zfin.org/ZDB-GENE-010502-1</v>
      </c>
      <c r="J66" t="s">
        <v>1766</v>
      </c>
    </row>
    <row r="67" spans="1:10" x14ac:dyDescent="0.2">
      <c r="A67">
        <v>4.8458877211357501E-44</v>
      </c>
      <c r="B67">
        <v>-0.92445323197209694</v>
      </c>
      <c r="C67">
        <v>5.2999999999999999E-2</v>
      </c>
      <c r="D67">
        <v>0.40500000000000003</v>
      </c>
      <c r="E67">
        <v>7.5028879586344704E-40</v>
      </c>
      <c r="F67" t="s">
        <v>2118</v>
      </c>
      <c r="G67" t="s">
        <v>2119</v>
      </c>
      <c r="H67" t="s">
        <v>2118</v>
      </c>
      <c r="I67" t="str">
        <f>HYPERLINK("https://zfin.org/ZDB-GENE-110404-2")</f>
        <v>https://zfin.org/ZDB-GENE-110404-2</v>
      </c>
      <c r="J67" t="s">
        <v>2117</v>
      </c>
    </row>
    <row r="68" spans="1:10" x14ac:dyDescent="0.2">
      <c r="A68">
        <v>1.2818294172852601E-43</v>
      </c>
      <c r="B68">
        <v>-0.597893156898473</v>
      </c>
      <c r="C68">
        <v>2E-3</v>
      </c>
      <c r="D68">
        <v>0.20200000000000001</v>
      </c>
      <c r="E68">
        <v>1.9846564867827798E-39</v>
      </c>
      <c r="F68" t="s">
        <v>2115</v>
      </c>
      <c r="G68" t="s">
        <v>2116</v>
      </c>
      <c r="H68" t="s">
        <v>2115</v>
      </c>
      <c r="I68" t="str">
        <f>HYPERLINK("https://zfin.org/ZDB-GENE-041111-205")</f>
        <v>https://zfin.org/ZDB-GENE-041111-205</v>
      </c>
      <c r="J68" t="s">
        <v>2114</v>
      </c>
    </row>
    <row r="69" spans="1:10" x14ac:dyDescent="0.2">
      <c r="A69">
        <v>3.3259077113833102E-43</v>
      </c>
      <c r="B69">
        <v>-0.50084714311816803</v>
      </c>
      <c r="C69">
        <v>7.0000000000000001E-3</v>
      </c>
      <c r="D69">
        <v>0.23100000000000001</v>
      </c>
      <c r="E69">
        <v>5.14950290953478E-39</v>
      </c>
      <c r="F69" t="s">
        <v>2112</v>
      </c>
      <c r="G69" t="s">
        <v>2113</v>
      </c>
      <c r="H69" t="s">
        <v>2112</v>
      </c>
      <c r="I69" t="str">
        <f>HYPERLINK("https://zfin.org/ZDB-GENE-040718-122")</f>
        <v>https://zfin.org/ZDB-GENE-040718-122</v>
      </c>
      <c r="J69" t="s">
        <v>2111</v>
      </c>
    </row>
    <row r="70" spans="1:10" x14ac:dyDescent="0.2">
      <c r="A70">
        <v>1.5659601249812898E-42</v>
      </c>
      <c r="B70">
        <v>-0.56170518279884196</v>
      </c>
      <c r="C70">
        <v>1.6E-2</v>
      </c>
      <c r="D70">
        <v>0.27200000000000002</v>
      </c>
      <c r="E70">
        <v>2.4245760615085302E-38</v>
      </c>
      <c r="F70" t="s">
        <v>2109</v>
      </c>
      <c r="G70" t="s">
        <v>2110</v>
      </c>
      <c r="H70" t="s">
        <v>2109</v>
      </c>
      <c r="I70" t="str">
        <f>HYPERLINK("https://zfin.org/ZDB-GENE-040426-2224")</f>
        <v>https://zfin.org/ZDB-GENE-040426-2224</v>
      </c>
      <c r="J70" t="s">
        <v>2108</v>
      </c>
    </row>
    <row r="71" spans="1:10" x14ac:dyDescent="0.2">
      <c r="A71">
        <v>3.6751889005792498E-42</v>
      </c>
      <c r="B71">
        <v>-0.68935368578708101</v>
      </c>
      <c r="C71">
        <v>6.0000000000000001E-3</v>
      </c>
      <c r="D71">
        <v>0.22</v>
      </c>
      <c r="E71">
        <v>5.6902949747668497E-38</v>
      </c>
      <c r="F71" t="s">
        <v>2106</v>
      </c>
      <c r="G71" t="s">
        <v>2107</v>
      </c>
      <c r="H71" t="s">
        <v>2106</v>
      </c>
      <c r="I71" t="str">
        <f>HYPERLINK("https://zfin.org/ZDB-GENE-050522-103")</f>
        <v>https://zfin.org/ZDB-GENE-050522-103</v>
      </c>
      <c r="J71" t="s">
        <v>2105</v>
      </c>
    </row>
    <row r="72" spans="1:10" x14ac:dyDescent="0.2">
      <c r="A72">
        <v>5.62175712179137E-42</v>
      </c>
      <c r="B72">
        <v>-1.3531866157249</v>
      </c>
      <c r="C72">
        <v>0.84899999999999998</v>
      </c>
      <c r="D72">
        <v>0.97099999999999997</v>
      </c>
      <c r="E72">
        <v>8.7041665516695796E-38</v>
      </c>
      <c r="F72" t="s">
        <v>2103</v>
      </c>
      <c r="G72" t="s">
        <v>2104</v>
      </c>
      <c r="H72" t="s">
        <v>2103</v>
      </c>
      <c r="I72" t="str">
        <f>HYPERLINK("https://zfin.org/ZDB-GENE-051120-126")</f>
        <v>https://zfin.org/ZDB-GENE-051120-126</v>
      </c>
      <c r="J72" t="s">
        <v>2102</v>
      </c>
    </row>
    <row r="73" spans="1:10" x14ac:dyDescent="0.2">
      <c r="A73">
        <v>6.9365718370329496E-42</v>
      </c>
      <c r="B73">
        <v>-0.837565990934796</v>
      </c>
      <c r="C73">
        <v>6.0999999999999999E-2</v>
      </c>
      <c r="D73">
        <v>0.41599999999999998</v>
      </c>
      <c r="E73">
        <v>1.0739894175278101E-37</v>
      </c>
      <c r="F73" t="s">
        <v>2100</v>
      </c>
      <c r="G73" t="s">
        <v>2101</v>
      </c>
      <c r="H73" t="s">
        <v>2100</v>
      </c>
      <c r="I73" t="str">
        <f>HYPERLINK("https://zfin.org/ZDB-GENE-040824-3")</f>
        <v>https://zfin.org/ZDB-GENE-040824-3</v>
      </c>
      <c r="J73" t="s">
        <v>2099</v>
      </c>
    </row>
    <row r="74" spans="1:10" x14ac:dyDescent="0.2">
      <c r="A74">
        <v>9.0657076871522805E-42</v>
      </c>
      <c r="B74">
        <v>-1.1333370348116001</v>
      </c>
      <c r="C74">
        <v>3.5999999999999997E-2</v>
      </c>
      <c r="D74">
        <v>0.33500000000000002</v>
      </c>
      <c r="E74">
        <v>1.4036435212017899E-37</v>
      </c>
      <c r="F74" t="s">
        <v>2098</v>
      </c>
      <c r="G74" t="s">
        <v>2097</v>
      </c>
      <c r="H74" t="s">
        <v>2096</v>
      </c>
      <c r="I74" t="str">
        <f>HYPERLINK("https://zfin.org/ZDB-GENE-030131-8290")</f>
        <v>https://zfin.org/ZDB-GENE-030131-8290</v>
      </c>
      <c r="J74" t="s">
        <v>2095</v>
      </c>
    </row>
    <row r="75" spans="1:10" x14ac:dyDescent="0.2">
      <c r="A75">
        <v>2.1311932037371901E-41</v>
      </c>
      <c r="B75">
        <v>-0.63942164863308404</v>
      </c>
      <c r="C75">
        <v>3.5999999999999997E-2</v>
      </c>
      <c r="D75">
        <v>0.34100000000000003</v>
      </c>
      <c r="E75">
        <v>3.2997264373462998E-37</v>
      </c>
      <c r="F75" t="s">
        <v>2093</v>
      </c>
      <c r="G75" t="s">
        <v>2094</v>
      </c>
      <c r="H75" t="s">
        <v>2093</v>
      </c>
      <c r="I75" t="str">
        <f>HYPERLINK("https://zfin.org/ZDB-GENE-010406-5")</f>
        <v>https://zfin.org/ZDB-GENE-010406-5</v>
      </c>
      <c r="J75" t="s">
        <v>2092</v>
      </c>
    </row>
    <row r="76" spans="1:10" x14ac:dyDescent="0.2">
      <c r="A76">
        <v>2.2074491053431201E-41</v>
      </c>
      <c r="B76">
        <v>-0.84421307882528396</v>
      </c>
      <c r="C76">
        <v>0.83299999999999996</v>
      </c>
      <c r="D76">
        <v>0.98799999999999999</v>
      </c>
      <c r="E76">
        <v>3.4177934498027499E-37</v>
      </c>
      <c r="F76" t="s">
        <v>1948</v>
      </c>
      <c r="G76" t="s">
        <v>1949</v>
      </c>
      <c r="H76" t="s">
        <v>1948</v>
      </c>
      <c r="I76" t="str">
        <f>HYPERLINK("https://zfin.org/ZDB-GENE-050417-329")</f>
        <v>https://zfin.org/ZDB-GENE-050417-329</v>
      </c>
      <c r="J76" t="s">
        <v>1947</v>
      </c>
    </row>
    <row r="77" spans="1:10" x14ac:dyDescent="0.2">
      <c r="A77">
        <v>2.7637297321833499E-41</v>
      </c>
      <c r="B77">
        <v>-0.56525932303864102</v>
      </c>
      <c r="C77">
        <v>1E-3</v>
      </c>
      <c r="D77">
        <v>0.185</v>
      </c>
      <c r="E77">
        <v>4.2790827443394902E-37</v>
      </c>
      <c r="F77" t="s">
        <v>2090</v>
      </c>
      <c r="G77" t="s">
        <v>2091</v>
      </c>
      <c r="H77" t="s">
        <v>2090</v>
      </c>
      <c r="I77" t="str">
        <f>HYPERLINK("https://zfin.org/ZDB-GENE-030131-4027")</f>
        <v>https://zfin.org/ZDB-GENE-030131-4027</v>
      </c>
      <c r="J77" t="s">
        <v>2089</v>
      </c>
    </row>
    <row r="78" spans="1:10" x14ac:dyDescent="0.2">
      <c r="A78">
        <v>1.12806018612274E-40</v>
      </c>
      <c r="B78">
        <v>-0.42091621893619702</v>
      </c>
      <c r="C78">
        <v>4.0000000000000001E-3</v>
      </c>
      <c r="D78">
        <v>0.20200000000000001</v>
      </c>
      <c r="E78">
        <v>1.7465755861738399E-36</v>
      </c>
      <c r="F78" t="s">
        <v>2087</v>
      </c>
      <c r="G78" t="s">
        <v>2088</v>
      </c>
      <c r="H78" t="s">
        <v>2087</v>
      </c>
      <c r="I78" t="str">
        <f>HYPERLINK("https://zfin.org/ZDB-GENE-030131-904")</f>
        <v>https://zfin.org/ZDB-GENE-030131-904</v>
      </c>
      <c r="J78" t="s">
        <v>2086</v>
      </c>
    </row>
    <row r="79" spans="1:10" x14ac:dyDescent="0.2">
      <c r="A79">
        <v>2.0270718826539202E-40</v>
      </c>
      <c r="B79">
        <v>-0.92245487472084298</v>
      </c>
      <c r="C79">
        <v>0.14599999999999999</v>
      </c>
      <c r="D79">
        <v>0.57799999999999996</v>
      </c>
      <c r="E79">
        <v>3.1385153959130703E-36</v>
      </c>
      <c r="F79" t="s">
        <v>2084</v>
      </c>
      <c r="G79" t="s">
        <v>2085</v>
      </c>
      <c r="H79" t="s">
        <v>2084</v>
      </c>
      <c r="I79" t="str">
        <f>HYPERLINK("https://zfin.org/ZDB-GENE-081105-65")</f>
        <v>https://zfin.org/ZDB-GENE-081105-65</v>
      </c>
      <c r="J79" t="s">
        <v>2083</v>
      </c>
    </row>
    <row r="80" spans="1:10" x14ac:dyDescent="0.2">
      <c r="A80">
        <v>2.7526850788718499E-40</v>
      </c>
      <c r="B80">
        <v>-0.62004050899836605</v>
      </c>
      <c r="C80">
        <v>0.02</v>
      </c>
      <c r="D80">
        <v>0.27700000000000002</v>
      </c>
      <c r="E80">
        <v>4.2619823076172903E-36</v>
      </c>
      <c r="F80" t="s">
        <v>2081</v>
      </c>
      <c r="G80" t="s">
        <v>2082</v>
      </c>
      <c r="H80" t="s">
        <v>2081</v>
      </c>
      <c r="I80" t="str">
        <f>HYPERLINK("https://zfin.org/ZDB-GENE-050419-19")</f>
        <v>https://zfin.org/ZDB-GENE-050419-19</v>
      </c>
      <c r="J80" t="s">
        <v>2080</v>
      </c>
    </row>
    <row r="81" spans="1:10" x14ac:dyDescent="0.2">
      <c r="A81">
        <v>3.0409777015041599E-40</v>
      </c>
      <c r="B81">
        <v>-0.64324862671840699</v>
      </c>
      <c r="C81">
        <v>2.5999999999999999E-2</v>
      </c>
      <c r="D81">
        <v>0.30099999999999999</v>
      </c>
      <c r="E81">
        <v>4.7083457752388897E-36</v>
      </c>
      <c r="F81" t="s">
        <v>2078</v>
      </c>
      <c r="G81" t="s">
        <v>2079</v>
      </c>
      <c r="H81" t="s">
        <v>2078</v>
      </c>
      <c r="I81" t="str">
        <f>HYPERLINK("https://zfin.org/ZDB-GENE-031112-11")</f>
        <v>https://zfin.org/ZDB-GENE-031112-11</v>
      </c>
      <c r="J81" t="s">
        <v>2077</v>
      </c>
    </row>
    <row r="82" spans="1:10" x14ac:dyDescent="0.2">
      <c r="A82">
        <v>3.2191286465378701E-40</v>
      </c>
      <c r="B82">
        <v>-0.58637342623526401</v>
      </c>
      <c r="C82">
        <v>1.2E-2</v>
      </c>
      <c r="D82">
        <v>0.24299999999999999</v>
      </c>
      <c r="E82">
        <v>4.9841768834345901E-36</v>
      </c>
      <c r="F82" t="s">
        <v>2075</v>
      </c>
      <c r="G82" t="s">
        <v>2076</v>
      </c>
      <c r="H82" t="s">
        <v>2075</v>
      </c>
      <c r="I82" t="str">
        <f>HYPERLINK("https://zfin.org/ZDB-GENE-030131-7003")</f>
        <v>https://zfin.org/ZDB-GENE-030131-7003</v>
      </c>
      <c r="J82" t="s">
        <v>2074</v>
      </c>
    </row>
    <row r="83" spans="1:10" x14ac:dyDescent="0.2">
      <c r="A83">
        <v>4.6318731531748496E-40</v>
      </c>
      <c r="B83">
        <v>-0.66247188372792898</v>
      </c>
      <c r="C83">
        <v>1.6E-2</v>
      </c>
      <c r="D83">
        <v>0.26</v>
      </c>
      <c r="E83">
        <v>7.17152920306063E-36</v>
      </c>
      <c r="F83" t="s">
        <v>2072</v>
      </c>
      <c r="G83" t="s">
        <v>2073</v>
      </c>
      <c r="H83" t="s">
        <v>2072</v>
      </c>
      <c r="I83" t="str">
        <f>HYPERLINK("https://zfin.org/ZDB-GENE-160113-89")</f>
        <v>https://zfin.org/ZDB-GENE-160113-89</v>
      </c>
      <c r="J83" t="s">
        <v>2071</v>
      </c>
    </row>
    <row r="84" spans="1:10" x14ac:dyDescent="0.2">
      <c r="A84">
        <v>9.0600980172628901E-40</v>
      </c>
      <c r="B84">
        <v>-1.0354580222469401</v>
      </c>
      <c r="C84">
        <v>6.4000000000000001E-2</v>
      </c>
      <c r="D84">
        <v>0.39900000000000002</v>
      </c>
      <c r="E84">
        <v>1.40277497601281E-35</v>
      </c>
      <c r="F84" t="s">
        <v>842</v>
      </c>
      <c r="G84" t="s">
        <v>843</v>
      </c>
      <c r="H84" t="s">
        <v>842</v>
      </c>
      <c r="I84" t="str">
        <f>HYPERLINK("https://zfin.org/ZDB-GENE-030131-5561")</f>
        <v>https://zfin.org/ZDB-GENE-030131-5561</v>
      </c>
      <c r="J84" t="s">
        <v>841</v>
      </c>
    </row>
    <row r="85" spans="1:10" x14ac:dyDescent="0.2">
      <c r="A85">
        <v>1.5497483146949E-39</v>
      </c>
      <c r="B85">
        <v>-0.41349349047928002</v>
      </c>
      <c r="C85">
        <v>8.9999999999999993E-3</v>
      </c>
      <c r="D85">
        <v>0.22500000000000001</v>
      </c>
      <c r="E85">
        <v>2.3994753156421199E-35</v>
      </c>
      <c r="F85" t="s">
        <v>2069</v>
      </c>
      <c r="G85" t="s">
        <v>2070</v>
      </c>
      <c r="H85" t="s">
        <v>2069</v>
      </c>
      <c r="I85" t="str">
        <f>HYPERLINK("https://zfin.org/ZDB-GENE-990603-6")</f>
        <v>https://zfin.org/ZDB-GENE-990603-6</v>
      </c>
      <c r="J85" t="s">
        <v>2068</v>
      </c>
    </row>
    <row r="86" spans="1:10" x14ac:dyDescent="0.2">
      <c r="A86">
        <v>1.6893961444189398E-39</v>
      </c>
      <c r="B86">
        <v>-0.49467393554197098</v>
      </c>
      <c r="C86">
        <v>1.4999999999999999E-2</v>
      </c>
      <c r="D86">
        <v>0.254</v>
      </c>
      <c r="E86">
        <v>2.6156920504038498E-35</v>
      </c>
      <c r="F86" t="s">
        <v>2066</v>
      </c>
      <c r="G86" t="s">
        <v>2067</v>
      </c>
      <c r="H86" t="s">
        <v>2066</v>
      </c>
      <c r="I86" t="str">
        <f>HYPERLINK("https://zfin.org/ZDB-GENE-990603-11")</f>
        <v>https://zfin.org/ZDB-GENE-990603-11</v>
      </c>
      <c r="J86" t="s">
        <v>2065</v>
      </c>
    </row>
    <row r="87" spans="1:10" x14ac:dyDescent="0.2">
      <c r="A87">
        <v>2.00780851666961E-39</v>
      </c>
      <c r="B87">
        <v>-0.50279389103123695</v>
      </c>
      <c r="C87">
        <v>1.2999999999999999E-2</v>
      </c>
      <c r="D87">
        <v>0.24299999999999999</v>
      </c>
      <c r="E87">
        <v>3.1086899263595602E-35</v>
      </c>
      <c r="F87" t="s">
        <v>2063</v>
      </c>
      <c r="G87" t="s">
        <v>2064</v>
      </c>
      <c r="H87" t="s">
        <v>2063</v>
      </c>
      <c r="I87" t="str">
        <f>HYPERLINK("https://zfin.org/ZDB-GENE-040611-4")</f>
        <v>https://zfin.org/ZDB-GENE-040611-4</v>
      </c>
      <c r="J87" t="s">
        <v>2062</v>
      </c>
    </row>
    <row r="88" spans="1:10" x14ac:dyDescent="0.2">
      <c r="A88">
        <v>2.54620540382576E-39</v>
      </c>
      <c r="B88">
        <v>-0.65799939790476503</v>
      </c>
      <c r="C88">
        <v>1.2999999999999999E-2</v>
      </c>
      <c r="D88">
        <v>0.24299999999999999</v>
      </c>
      <c r="E88">
        <v>3.9422898267434197E-35</v>
      </c>
      <c r="F88" t="s">
        <v>2060</v>
      </c>
      <c r="G88" t="s">
        <v>2061</v>
      </c>
      <c r="H88" t="s">
        <v>2060</v>
      </c>
      <c r="I88" t="str">
        <f>HYPERLINK("https://zfin.org/ZDB-GENE-041114-171")</f>
        <v>https://zfin.org/ZDB-GENE-041114-171</v>
      </c>
      <c r="J88" t="s">
        <v>2059</v>
      </c>
    </row>
    <row r="89" spans="1:10" x14ac:dyDescent="0.2">
      <c r="A89">
        <v>2.7570972916384299E-39</v>
      </c>
      <c r="B89">
        <v>-0.78615379843388999</v>
      </c>
      <c r="C89">
        <v>7.8E-2</v>
      </c>
      <c r="D89">
        <v>0.439</v>
      </c>
      <c r="E89">
        <v>4.2688137366437801E-35</v>
      </c>
      <c r="F89" t="s">
        <v>1572</v>
      </c>
      <c r="G89" t="s">
        <v>1573</v>
      </c>
      <c r="H89" t="s">
        <v>1572</v>
      </c>
      <c r="I89" t="str">
        <f>HYPERLINK("https://zfin.org/ZDB-GENE-041010-210")</f>
        <v>https://zfin.org/ZDB-GENE-041010-210</v>
      </c>
      <c r="J89" t="s">
        <v>1571</v>
      </c>
    </row>
    <row r="90" spans="1:10" x14ac:dyDescent="0.2">
      <c r="A90">
        <v>8.0993440759979897E-39</v>
      </c>
      <c r="B90">
        <v>-0.686469844025694</v>
      </c>
      <c r="C90">
        <v>4.2999999999999997E-2</v>
      </c>
      <c r="D90">
        <v>0.34699999999999998</v>
      </c>
      <c r="E90">
        <v>1.2540214432867699E-34</v>
      </c>
      <c r="F90" t="s">
        <v>2057</v>
      </c>
      <c r="G90" t="s">
        <v>2058</v>
      </c>
      <c r="H90" t="s">
        <v>2057</v>
      </c>
      <c r="I90" t="str">
        <f>HYPERLINK("https://zfin.org/ZDB-GENE-040907-1")</f>
        <v>https://zfin.org/ZDB-GENE-040907-1</v>
      </c>
      <c r="J90" t="s">
        <v>2056</v>
      </c>
    </row>
    <row r="91" spans="1:10" x14ac:dyDescent="0.2">
      <c r="A91">
        <v>8.2415673515464604E-39</v>
      </c>
      <c r="B91">
        <v>-0.91957949826449104</v>
      </c>
      <c r="C91">
        <v>0.128</v>
      </c>
      <c r="D91">
        <v>0.53200000000000003</v>
      </c>
      <c r="E91">
        <v>1.2760418730399399E-34</v>
      </c>
      <c r="F91" t="s">
        <v>2054</v>
      </c>
      <c r="G91" t="s">
        <v>2055</v>
      </c>
      <c r="H91" t="s">
        <v>2054</v>
      </c>
      <c r="I91" t="str">
        <f>HYPERLINK("https://zfin.org/ZDB-GENE-020416-1")</f>
        <v>https://zfin.org/ZDB-GENE-020416-1</v>
      </c>
      <c r="J91" t="s">
        <v>2053</v>
      </c>
    </row>
    <row r="92" spans="1:10" x14ac:dyDescent="0.2">
      <c r="A92">
        <v>1.19284385218283E-38</v>
      </c>
      <c r="B92">
        <v>-0.39868476977838602</v>
      </c>
      <c r="C92">
        <v>1E-3</v>
      </c>
      <c r="D92">
        <v>0.17299999999999999</v>
      </c>
      <c r="E92">
        <v>1.8468801363346701E-34</v>
      </c>
      <c r="F92" t="s">
        <v>2051</v>
      </c>
      <c r="G92" t="s">
        <v>2052</v>
      </c>
      <c r="H92" t="s">
        <v>2051</v>
      </c>
      <c r="I92" t="str">
        <f>HYPERLINK("https://zfin.org/ZDB-GENE-040718-334")</f>
        <v>https://zfin.org/ZDB-GENE-040718-334</v>
      </c>
      <c r="J92" t="s">
        <v>2050</v>
      </c>
    </row>
    <row r="93" spans="1:10" x14ac:dyDescent="0.2">
      <c r="A93">
        <v>1.54096221340741E-38</v>
      </c>
      <c r="B93">
        <v>-0.681119556121079</v>
      </c>
      <c r="C93">
        <v>3.4000000000000002E-2</v>
      </c>
      <c r="D93">
        <v>0.318</v>
      </c>
      <c r="E93">
        <v>2.3858717950187001E-34</v>
      </c>
      <c r="F93" t="s">
        <v>2048</v>
      </c>
      <c r="G93" t="s">
        <v>2049</v>
      </c>
      <c r="H93" t="s">
        <v>2048</v>
      </c>
      <c r="I93" t="str">
        <f>HYPERLINK("https://zfin.org/ZDB-GENE-060512-191")</f>
        <v>https://zfin.org/ZDB-GENE-060512-191</v>
      </c>
      <c r="J93" t="s">
        <v>2047</v>
      </c>
    </row>
    <row r="94" spans="1:10" x14ac:dyDescent="0.2">
      <c r="A94">
        <v>2.7935345268140398E-38</v>
      </c>
      <c r="B94">
        <v>-0.43085373368711799</v>
      </c>
      <c r="C94">
        <v>3.0000000000000001E-3</v>
      </c>
      <c r="D94">
        <v>0.185</v>
      </c>
      <c r="E94">
        <v>4.3252295078661697E-34</v>
      </c>
      <c r="F94" t="s">
        <v>2045</v>
      </c>
      <c r="G94" t="s">
        <v>2046</v>
      </c>
      <c r="H94" t="s">
        <v>2045</v>
      </c>
      <c r="I94" t="str">
        <f>HYPERLINK("https://zfin.org/ZDB-GENE-091204-387")</f>
        <v>https://zfin.org/ZDB-GENE-091204-387</v>
      </c>
      <c r="J94" t="s">
        <v>2044</v>
      </c>
    </row>
    <row r="95" spans="1:10" x14ac:dyDescent="0.2">
      <c r="A95">
        <v>8.3293251246374695E-38</v>
      </c>
      <c r="B95">
        <v>-1.53267803965857</v>
      </c>
      <c r="C95">
        <v>0.04</v>
      </c>
      <c r="D95">
        <v>0.32900000000000001</v>
      </c>
      <c r="E95">
        <v>1.2896294090476201E-33</v>
      </c>
      <c r="F95" t="s">
        <v>2042</v>
      </c>
      <c r="G95" t="s">
        <v>2043</v>
      </c>
      <c r="H95" t="s">
        <v>2042</v>
      </c>
      <c r="I95" t="str">
        <f>HYPERLINK("https://zfin.org/ZDB-GENE-040718-22")</f>
        <v>https://zfin.org/ZDB-GENE-040718-22</v>
      </c>
      <c r="J95" t="s">
        <v>2041</v>
      </c>
    </row>
    <row r="96" spans="1:10" x14ac:dyDescent="0.2">
      <c r="A96">
        <v>8.5498359464823105E-38</v>
      </c>
      <c r="B96">
        <v>-1.14491523383183</v>
      </c>
      <c r="C96">
        <v>0.78200000000000003</v>
      </c>
      <c r="D96">
        <v>0.93600000000000005</v>
      </c>
      <c r="E96">
        <v>1.3237710995938601E-33</v>
      </c>
      <c r="F96" t="s">
        <v>903</v>
      </c>
      <c r="G96" t="s">
        <v>904</v>
      </c>
      <c r="H96" t="s">
        <v>903</v>
      </c>
      <c r="I96" t="str">
        <f>HYPERLINK("https://zfin.org/ZDB-GENE-040426-1928")</f>
        <v>https://zfin.org/ZDB-GENE-040426-1928</v>
      </c>
      <c r="J96" t="s">
        <v>902</v>
      </c>
    </row>
    <row r="97" spans="1:10" x14ac:dyDescent="0.2">
      <c r="A97">
        <v>1.40098755286198E-37</v>
      </c>
      <c r="B97">
        <v>-0.73409270364305201</v>
      </c>
      <c r="C97">
        <v>2.5000000000000001E-2</v>
      </c>
      <c r="D97">
        <v>0.28299999999999997</v>
      </c>
      <c r="E97">
        <v>2.1691490280962E-33</v>
      </c>
      <c r="F97" t="s">
        <v>2039</v>
      </c>
      <c r="G97" t="s">
        <v>2040</v>
      </c>
      <c r="H97" t="s">
        <v>2039</v>
      </c>
      <c r="I97" t="str">
        <f>HYPERLINK("https://zfin.org/ZDB-GENE-060429-1")</f>
        <v>https://zfin.org/ZDB-GENE-060429-1</v>
      </c>
      <c r="J97" t="s">
        <v>2038</v>
      </c>
    </row>
    <row r="98" spans="1:10" x14ac:dyDescent="0.2">
      <c r="A98">
        <v>2.1543219060731198E-37</v>
      </c>
      <c r="B98">
        <v>-0.62092187410015998</v>
      </c>
      <c r="C98">
        <v>8.9999999999999993E-3</v>
      </c>
      <c r="D98">
        <v>0.214</v>
      </c>
      <c r="E98">
        <v>3.3355366071730197E-33</v>
      </c>
      <c r="F98" t="s">
        <v>2036</v>
      </c>
      <c r="G98" t="s">
        <v>2037</v>
      </c>
      <c r="H98" t="s">
        <v>2036</v>
      </c>
      <c r="I98" t="str">
        <f>HYPERLINK("https://zfin.org/ZDB-GENE-050913-156")</f>
        <v>https://zfin.org/ZDB-GENE-050913-156</v>
      </c>
      <c r="J98" t="s">
        <v>2035</v>
      </c>
    </row>
    <row r="99" spans="1:10" x14ac:dyDescent="0.2">
      <c r="A99">
        <v>3.4996731795929298E-37</v>
      </c>
      <c r="B99">
        <v>-0.53200708295388599</v>
      </c>
      <c r="C99">
        <v>8.0000000000000002E-3</v>
      </c>
      <c r="D99">
        <v>0.20799999999999999</v>
      </c>
      <c r="E99">
        <v>5.4185439839637402E-33</v>
      </c>
      <c r="F99" t="s">
        <v>2033</v>
      </c>
      <c r="G99" t="s">
        <v>2034</v>
      </c>
      <c r="H99" t="s">
        <v>2033</v>
      </c>
      <c r="I99" t="str">
        <f>HYPERLINK("https://zfin.org/ZDB-GENE-040426-2923")</f>
        <v>https://zfin.org/ZDB-GENE-040426-2923</v>
      </c>
      <c r="J99" t="s">
        <v>2032</v>
      </c>
    </row>
    <row r="100" spans="1:10" x14ac:dyDescent="0.2">
      <c r="A100">
        <v>5.8965788174355001E-37</v>
      </c>
      <c r="B100">
        <v>-0.33317159684629999</v>
      </c>
      <c r="C100">
        <v>2E-3</v>
      </c>
      <c r="D100">
        <v>0.17299999999999999</v>
      </c>
      <c r="E100">
        <v>9.1296729830353906E-33</v>
      </c>
      <c r="F100" t="s">
        <v>2030</v>
      </c>
      <c r="G100" t="s">
        <v>2031</v>
      </c>
      <c r="H100" t="s">
        <v>2030</v>
      </c>
      <c r="I100" t="str">
        <f>HYPERLINK("https://zfin.org/ZDB-GENE-040912-35")</f>
        <v>https://zfin.org/ZDB-GENE-040912-35</v>
      </c>
      <c r="J100" t="s">
        <v>2029</v>
      </c>
    </row>
    <row r="101" spans="1:10" x14ac:dyDescent="0.2">
      <c r="A101">
        <v>6.71471139903449E-37</v>
      </c>
      <c r="B101">
        <v>-0.518229708231561</v>
      </c>
      <c r="C101">
        <v>2.4E-2</v>
      </c>
      <c r="D101">
        <v>0.27700000000000002</v>
      </c>
      <c r="E101">
        <v>1.03963876591251E-32</v>
      </c>
      <c r="F101" t="s">
        <v>2027</v>
      </c>
      <c r="G101" t="s">
        <v>2028</v>
      </c>
      <c r="H101" t="s">
        <v>2027</v>
      </c>
      <c r="I101" t="str">
        <f>HYPERLINK("https://zfin.org/ZDB-GENE-100922-200")</f>
        <v>https://zfin.org/ZDB-GENE-100922-200</v>
      </c>
      <c r="J101" t="s">
        <v>2026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B15BC-6FD0-154E-A165-FA930475F986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9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5.13897011927809E-145</v>
      </c>
      <c r="B2">
        <v>2.5574322947395101</v>
      </c>
      <c r="C2">
        <v>0.99</v>
      </c>
      <c r="D2">
        <v>0.90600000000000003</v>
      </c>
      <c r="E2">
        <v>7.9566674356782597E-141</v>
      </c>
      <c r="F2" t="s">
        <v>1479</v>
      </c>
      <c r="G2" t="s">
        <v>1480</v>
      </c>
      <c r="H2" t="s">
        <v>1479</v>
      </c>
      <c r="I2" t="str">
        <f>HYPERLINK("https://zfin.org/ZDB-GENE-121214-193")</f>
        <v>https://zfin.org/ZDB-GENE-121214-193</v>
      </c>
      <c r="J2" t="s">
        <v>1478</v>
      </c>
    </row>
    <row r="3" spans="1:10" x14ac:dyDescent="0.2">
      <c r="A3">
        <v>3.4028850490255399E-132</v>
      </c>
      <c r="B3">
        <v>2.6204097344894</v>
      </c>
      <c r="C3">
        <v>0.98</v>
      </c>
      <c r="D3">
        <v>0.67700000000000005</v>
      </c>
      <c r="E3">
        <v>5.2686869214062504E-128</v>
      </c>
      <c r="F3" t="s">
        <v>1485</v>
      </c>
      <c r="G3" t="s">
        <v>1486</v>
      </c>
      <c r="H3" t="s">
        <v>1485</v>
      </c>
      <c r="I3" t="str">
        <f>HYPERLINK("https://zfin.org/ZDB-GENE-070705-532")</f>
        <v>https://zfin.org/ZDB-GENE-070705-532</v>
      </c>
      <c r="J3" t="s">
        <v>1484</v>
      </c>
    </row>
    <row r="4" spans="1:10" x14ac:dyDescent="0.2">
      <c r="A4">
        <v>1.2332123828628601E-111</v>
      </c>
      <c r="B4">
        <v>1.9227651863041799</v>
      </c>
      <c r="C4">
        <v>0.96699999999999997</v>
      </c>
      <c r="D4">
        <v>0.67100000000000004</v>
      </c>
      <c r="E4">
        <v>1.90938273238657E-107</v>
      </c>
      <c r="F4" t="s">
        <v>177</v>
      </c>
      <c r="G4" t="s">
        <v>178</v>
      </c>
      <c r="H4" t="s">
        <v>177</v>
      </c>
      <c r="I4" t="str">
        <f>HYPERLINK("https://zfin.org/ZDB-GENE-111109-2")</f>
        <v>https://zfin.org/ZDB-GENE-111109-2</v>
      </c>
      <c r="J4" t="s">
        <v>179</v>
      </c>
    </row>
    <row r="5" spans="1:10" x14ac:dyDescent="0.2">
      <c r="A5">
        <v>1.30404837229962E-101</v>
      </c>
      <c r="B5">
        <v>1.52459574959115</v>
      </c>
      <c r="C5">
        <v>0.91200000000000003</v>
      </c>
      <c r="D5">
        <v>0.442</v>
      </c>
      <c r="E5">
        <v>2.01905809483151E-97</v>
      </c>
      <c r="F5" t="s">
        <v>261</v>
      </c>
      <c r="G5" t="s">
        <v>262</v>
      </c>
      <c r="H5" t="s">
        <v>261</v>
      </c>
      <c r="I5" t="str">
        <f>HYPERLINK("https://zfin.org/ZDB-GENE-030131-2159")</f>
        <v>https://zfin.org/ZDB-GENE-030131-2159</v>
      </c>
      <c r="J5" t="s">
        <v>263</v>
      </c>
    </row>
    <row r="6" spans="1:10" x14ac:dyDescent="0.2">
      <c r="A6">
        <v>8.3115657942037997E-98</v>
      </c>
      <c r="B6">
        <v>1.5480940047296501</v>
      </c>
      <c r="C6">
        <v>0.89500000000000002</v>
      </c>
      <c r="D6">
        <v>0.38100000000000001</v>
      </c>
      <c r="E6">
        <v>1.28687973191657E-93</v>
      </c>
      <c r="F6" t="s">
        <v>306</v>
      </c>
      <c r="G6" t="s">
        <v>307</v>
      </c>
      <c r="H6" t="s">
        <v>306</v>
      </c>
      <c r="I6" t="str">
        <f>HYPERLINK("https://zfin.org/ZDB-GENE-141215-49")</f>
        <v>https://zfin.org/ZDB-GENE-141215-49</v>
      </c>
      <c r="J6" t="s">
        <v>308</v>
      </c>
    </row>
    <row r="7" spans="1:10" x14ac:dyDescent="0.2">
      <c r="A7">
        <v>1.03685432130077E-90</v>
      </c>
      <c r="B7">
        <v>1.9098354812910301</v>
      </c>
      <c r="C7">
        <v>0.72499999999999998</v>
      </c>
      <c r="D7">
        <v>0.11700000000000001</v>
      </c>
      <c r="E7">
        <v>1.6053615456699801E-86</v>
      </c>
      <c r="F7" t="s">
        <v>1455</v>
      </c>
      <c r="G7" t="s">
        <v>1456</v>
      </c>
      <c r="H7" t="s">
        <v>1455</v>
      </c>
      <c r="I7" t="str">
        <f>HYPERLINK("https://zfin.org/")</f>
        <v>https://zfin.org/</v>
      </c>
    </row>
    <row r="8" spans="1:10" x14ac:dyDescent="0.2">
      <c r="A8">
        <v>3.2725521556166899E-84</v>
      </c>
      <c r="B8">
        <v>0.855869503373894</v>
      </c>
      <c r="C8">
        <v>0.998</v>
      </c>
      <c r="D8">
        <v>0.96699999999999997</v>
      </c>
      <c r="E8">
        <v>5.0668925025413097E-80</v>
      </c>
      <c r="F8" t="s">
        <v>52</v>
      </c>
      <c r="G8" t="s">
        <v>53</v>
      </c>
      <c r="H8" t="s">
        <v>52</v>
      </c>
      <c r="I8" t="str">
        <f>HYPERLINK("https://zfin.org/ZDB-GENE-040426-1508")</f>
        <v>https://zfin.org/ZDB-GENE-040426-1508</v>
      </c>
      <c r="J8" t="s">
        <v>54</v>
      </c>
    </row>
    <row r="9" spans="1:10" x14ac:dyDescent="0.2">
      <c r="A9">
        <v>7.2548641790705704E-83</v>
      </c>
      <c r="B9">
        <v>0.74324049623121202</v>
      </c>
      <c r="C9">
        <v>1</v>
      </c>
      <c r="D9">
        <v>1</v>
      </c>
      <c r="E9">
        <v>1.1232706208455E-78</v>
      </c>
      <c r="F9" t="s">
        <v>13</v>
      </c>
      <c r="G9" t="s">
        <v>14</v>
      </c>
      <c r="H9" t="s">
        <v>13</v>
      </c>
      <c r="I9" t="str">
        <f>HYPERLINK("https://zfin.org/ZDB-GENE-130603-61")</f>
        <v>https://zfin.org/ZDB-GENE-130603-61</v>
      </c>
      <c r="J9" t="s">
        <v>15</v>
      </c>
    </row>
    <row r="10" spans="1:10" x14ac:dyDescent="0.2">
      <c r="A10">
        <v>5.5459733472764898E-82</v>
      </c>
      <c r="B10">
        <v>1.9938549595067201</v>
      </c>
      <c r="C10">
        <v>0.80700000000000005</v>
      </c>
      <c r="D10">
        <v>0.312</v>
      </c>
      <c r="E10">
        <v>8.5868305335881905E-78</v>
      </c>
      <c r="F10" t="s">
        <v>1415</v>
      </c>
      <c r="G10" t="s">
        <v>1416</v>
      </c>
      <c r="H10" t="s">
        <v>1415</v>
      </c>
      <c r="I10" t="str">
        <f>HYPERLINK("https://zfin.org/ZDB-GENE-030131-688")</f>
        <v>https://zfin.org/ZDB-GENE-030131-688</v>
      </c>
      <c r="J10" t="s">
        <v>1414</v>
      </c>
    </row>
    <row r="11" spans="1:10" x14ac:dyDescent="0.2">
      <c r="A11">
        <v>5.0031533389002399E-79</v>
      </c>
      <c r="B11">
        <v>1.5043456924472201</v>
      </c>
      <c r="C11">
        <v>0.67400000000000004</v>
      </c>
      <c r="D11">
        <v>9.4E-2</v>
      </c>
      <c r="E11">
        <v>7.7463823146192401E-75</v>
      </c>
      <c r="F11" t="s">
        <v>1436</v>
      </c>
      <c r="G11" t="s">
        <v>1437</v>
      </c>
      <c r="H11" t="s">
        <v>1436</v>
      </c>
      <c r="I11" t="str">
        <f>HYPERLINK("https://zfin.org/ZDB-GENE-070112-292")</f>
        <v>https://zfin.org/ZDB-GENE-070112-292</v>
      </c>
      <c r="J11" t="s">
        <v>1435</v>
      </c>
    </row>
    <row r="12" spans="1:10" x14ac:dyDescent="0.2">
      <c r="A12">
        <v>5.2132944681622597E-78</v>
      </c>
      <c r="B12">
        <v>1.1999461221800101</v>
      </c>
      <c r="C12">
        <v>0.92200000000000004</v>
      </c>
      <c r="D12">
        <v>0.57099999999999995</v>
      </c>
      <c r="E12">
        <v>8.0717438250556205E-74</v>
      </c>
      <c r="F12" t="s">
        <v>2024</v>
      </c>
      <c r="G12" t="s">
        <v>2025</v>
      </c>
      <c r="H12" t="s">
        <v>2024</v>
      </c>
      <c r="I12" t="str">
        <f>HYPERLINK("https://zfin.org/ZDB-GENE-030411-5")</f>
        <v>https://zfin.org/ZDB-GENE-030411-5</v>
      </c>
      <c r="J12" t="s">
        <v>2023</v>
      </c>
    </row>
    <row r="13" spans="1:10" x14ac:dyDescent="0.2">
      <c r="A13">
        <v>2.88263714322213E-77</v>
      </c>
      <c r="B13">
        <v>1.82327723707175</v>
      </c>
      <c r="C13">
        <v>0.66600000000000004</v>
      </c>
      <c r="D13">
        <v>0.11</v>
      </c>
      <c r="E13">
        <v>4.46318708885082E-73</v>
      </c>
      <c r="F13" t="s">
        <v>1433</v>
      </c>
      <c r="G13" t="s">
        <v>1434</v>
      </c>
      <c r="H13" t="s">
        <v>1433</v>
      </c>
      <c r="I13" t="str">
        <f>HYPERLINK("https://zfin.org/ZDB-GENE-070720-11")</f>
        <v>https://zfin.org/ZDB-GENE-070720-11</v>
      </c>
      <c r="J13" t="s">
        <v>1432</v>
      </c>
    </row>
    <row r="14" spans="1:10" x14ac:dyDescent="0.2">
      <c r="A14">
        <v>2.3834978161113801E-67</v>
      </c>
      <c r="B14">
        <v>1.48170012079394</v>
      </c>
      <c r="C14">
        <v>0.68400000000000005</v>
      </c>
      <c r="D14">
        <v>0.17899999999999999</v>
      </c>
      <c r="E14">
        <v>3.6903696686852503E-63</v>
      </c>
      <c r="F14" t="s">
        <v>1683</v>
      </c>
      <c r="G14" t="s">
        <v>1684</v>
      </c>
      <c r="H14" t="s">
        <v>1683</v>
      </c>
      <c r="I14" t="str">
        <f>HYPERLINK("https://zfin.org/ZDB-GENE-030411-6")</f>
        <v>https://zfin.org/ZDB-GENE-030411-6</v>
      </c>
      <c r="J14" t="s">
        <v>1682</v>
      </c>
    </row>
    <row r="15" spans="1:10" x14ac:dyDescent="0.2">
      <c r="A15">
        <v>4.6276654532237798E-64</v>
      </c>
      <c r="B15">
        <v>1.4500034546799101</v>
      </c>
      <c r="C15">
        <v>0.66800000000000004</v>
      </c>
      <c r="D15">
        <v>0.16900000000000001</v>
      </c>
      <c r="E15">
        <v>7.1650144212263796E-60</v>
      </c>
      <c r="F15" t="s">
        <v>1461</v>
      </c>
      <c r="G15" t="s">
        <v>1462</v>
      </c>
      <c r="H15" t="s">
        <v>1461</v>
      </c>
      <c r="I15" t="str">
        <f>HYPERLINK("https://zfin.org/ZDB-GENE-980605-16")</f>
        <v>https://zfin.org/ZDB-GENE-980605-16</v>
      </c>
      <c r="J15" t="s">
        <v>1460</v>
      </c>
    </row>
    <row r="16" spans="1:10" x14ac:dyDescent="0.2">
      <c r="A16">
        <v>9.01476205620337E-64</v>
      </c>
      <c r="B16">
        <v>1.3290075833725501</v>
      </c>
      <c r="C16">
        <v>0.64500000000000002</v>
      </c>
      <c r="D16">
        <v>0.13300000000000001</v>
      </c>
      <c r="E16">
        <v>1.3957556091619701E-59</v>
      </c>
      <c r="F16" t="s">
        <v>1453</v>
      </c>
      <c r="G16" t="s">
        <v>1454</v>
      </c>
      <c r="H16" t="s">
        <v>1453</v>
      </c>
      <c r="I16" t="str">
        <f>HYPERLINK("https://zfin.org/")</f>
        <v>https://zfin.org/</v>
      </c>
    </row>
    <row r="17" spans="1:10" x14ac:dyDescent="0.2">
      <c r="A17">
        <v>7.12733963318062E-47</v>
      </c>
      <c r="B17">
        <v>1.0438824349603799</v>
      </c>
      <c r="C17">
        <v>0.53100000000000003</v>
      </c>
      <c r="D17">
        <v>0.11</v>
      </c>
      <c r="E17">
        <v>1.1035259954053601E-42</v>
      </c>
      <c r="F17" t="s">
        <v>1400</v>
      </c>
      <c r="G17" t="s">
        <v>1401</v>
      </c>
      <c r="H17" t="s">
        <v>1400</v>
      </c>
      <c r="I17" t="str">
        <f>HYPERLINK("https://zfin.org/ZDB-GENE-030131-9149")</f>
        <v>https://zfin.org/ZDB-GENE-030131-9149</v>
      </c>
      <c r="J17" t="s">
        <v>1399</v>
      </c>
    </row>
    <row r="18" spans="1:10" x14ac:dyDescent="0.2">
      <c r="A18">
        <v>7.3504400087515804E-46</v>
      </c>
      <c r="B18">
        <v>0.77768959948431204</v>
      </c>
      <c r="C18">
        <v>0.95899999999999996</v>
      </c>
      <c r="D18">
        <v>0.8</v>
      </c>
      <c r="E18">
        <v>1.13806862655501E-41</v>
      </c>
      <c r="F18" t="s">
        <v>73</v>
      </c>
      <c r="G18" t="s">
        <v>74</v>
      </c>
      <c r="H18" t="s">
        <v>73</v>
      </c>
      <c r="I18" t="str">
        <f>HYPERLINK("https://zfin.org/ZDB-GENE-050522-73")</f>
        <v>https://zfin.org/ZDB-GENE-050522-73</v>
      </c>
      <c r="J18" t="s">
        <v>75</v>
      </c>
    </row>
    <row r="19" spans="1:10" x14ac:dyDescent="0.2">
      <c r="A19">
        <v>1.42684346109188E-44</v>
      </c>
      <c r="B19">
        <v>1.34642319113604</v>
      </c>
      <c r="C19">
        <v>0.40600000000000003</v>
      </c>
      <c r="D19">
        <v>3.5000000000000003E-2</v>
      </c>
      <c r="E19">
        <v>2.2091817308085598E-40</v>
      </c>
      <c r="F19" t="s">
        <v>2449</v>
      </c>
      <c r="G19" t="s">
        <v>2450</v>
      </c>
      <c r="H19" t="s">
        <v>2449</v>
      </c>
      <c r="I19" t="str">
        <f>HYPERLINK("https://zfin.org/ZDB-GENE-980526-112")</f>
        <v>https://zfin.org/ZDB-GENE-980526-112</v>
      </c>
      <c r="J19" t="s">
        <v>2448</v>
      </c>
    </row>
    <row r="20" spans="1:10" x14ac:dyDescent="0.2">
      <c r="A20">
        <v>5.3628193020963202E-44</v>
      </c>
      <c r="B20">
        <v>1.0009427099491901</v>
      </c>
      <c r="C20">
        <v>0.52700000000000002</v>
      </c>
      <c r="D20">
        <v>0.115</v>
      </c>
      <c r="E20">
        <v>8.3032531254357292E-40</v>
      </c>
      <c r="F20" t="s">
        <v>1421</v>
      </c>
      <c r="G20" t="s">
        <v>1422</v>
      </c>
      <c r="H20" t="s">
        <v>1421</v>
      </c>
      <c r="I20" t="str">
        <f>HYPERLINK("https://zfin.org/ZDB-GENE-070705-193")</f>
        <v>https://zfin.org/ZDB-GENE-070705-193</v>
      </c>
      <c r="J20" t="s">
        <v>1420</v>
      </c>
    </row>
    <row r="21" spans="1:10" x14ac:dyDescent="0.2">
      <c r="A21">
        <v>1.0730742034015599E-41</v>
      </c>
      <c r="B21">
        <v>0.98926347475500398</v>
      </c>
      <c r="C21">
        <v>0.48199999999999998</v>
      </c>
      <c r="D21">
        <v>8.5000000000000006E-2</v>
      </c>
      <c r="E21">
        <v>1.66144078912663E-37</v>
      </c>
      <c r="F21" t="s">
        <v>1373</v>
      </c>
      <c r="G21" t="s">
        <v>1374</v>
      </c>
      <c r="H21" t="s">
        <v>1373</v>
      </c>
      <c r="I21" t="str">
        <f>HYPERLINK("https://zfin.org/ZDB-GENE-040718-440")</f>
        <v>https://zfin.org/ZDB-GENE-040718-440</v>
      </c>
      <c r="J21" t="s">
        <v>1372</v>
      </c>
    </row>
    <row r="22" spans="1:10" x14ac:dyDescent="0.2">
      <c r="A22">
        <v>5.5651831702378098E-41</v>
      </c>
      <c r="B22">
        <v>0.79210436330849499</v>
      </c>
      <c r="C22">
        <v>0.80900000000000005</v>
      </c>
      <c r="D22">
        <v>0.46500000000000002</v>
      </c>
      <c r="E22">
        <v>8.6165731024791995E-37</v>
      </c>
      <c r="F22" t="s">
        <v>1458</v>
      </c>
      <c r="G22" t="s">
        <v>1459</v>
      </c>
      <c r="H22" t="s">
        <v>1458</v>
      </c>
      <c r="I22" t="str">
        <f>HYPERLINK("https://zfin.org/ZDB-GENE-030131-9")</f>
        <v>https://zfin.org/ZDB-GENE-030131-9</v>
      </c>
      <c r="J22" t="s">
        <v>1457</v>
      </c>
    </row>
    <row r="23" spans="1:10" x14ac:dyDescent="0.2">
      <c r="A23">
        <v>7.4526201927316905E-41</v>
      </c>
      <c r="B23">
        <v>1.22890530778673</v>
      </c>
      <c r="C23">
        <v>0.438</v>
      </c>
      <c r="D23">
        <v>7.4999999999999997E-2</v>
      </c>
      <c r="E23">
        <v>1.15388918444065E-36</v>
      </c>
      <c r="F23" t="s">
        <v>1307</v>
      </c>
      <c r="G23" t="s">
        <v>1308</v>
      </c>
      <c r="H23" t="s">
        <v>1307</v>
      </c>
      <c r="I23" t="str">
        <f>HYPERLINK("https://zfin.org/ZDB-GENE-040801-218")</f>
        <v>https://zfin.org/ZDB-GENE-040801-218</v>
      </c>
      <c r="J23" t="s">
        <v>1306</v>
      </c>
    </row>
    <row r="24" spans="1:10" x14ac:dyDescent="0.2">
      <c r="A24">
        <v>2.9431189217453599E-40</v>
      </c>
      <c r="B24">
        <v>0.87720492220218105</v>
      </c>
      <c r="C24">
        <v>0.66800000000000004</v>
      </c>
      <c r="D24">
        <v>0.26700000000000002</v>
      </c>
      <c r="E24">
        <v>4.55683102653834E-36</v>
      </c>
      <c r="F24" t="s">
        <v>1467</v>
      </c>
      <c r="G24" t="s">
        <v>1468</v>
      </c>
      <c r="H24" t="s">
        <v>1467</v>
      </c>
      <c r="I24" t="str">
        <f>HYPERLINK("https://zfin.org/ZDB-GENE-050417-338")</f>
        <v>https://zfin.org/ZDB-GENE-050417-338</v>
      </c>
      <c r="J24" t="s">
        <v>1466</v>
      </c>
    </row>
    <row r="25" spans="1:10" x14ac:dyDescent="0.2">
      <c r="A25">
        <v>8.3611622329892296E-40</v>
      </c>
      <c r="B25">
        <v>0.74840582328750305</v>
      </c>
      <c r="C25">
        <v>0.81399999999999995</v>
      </c>
      <c r="D25">
        <v>0.54400000000000004</v>
      </c>
      <c r="E25">
        <v>1.2945587485337201E-35</v>
      </c>
      <c r="F25" t="s">
        <v>189</v>
      </c>
      <c r="G25" t="s">
        <v>190</v>
      </c>
      <c r="H25" t="s">
        <v>189</v>
      </c>
      <c r="I25" t="str">
        <f>HYPERLINK("https://zfin.org/ZDB-GENE-060126-3")</f>
        <v>https://zfin.org/ZDB-GENE-060126-3</v>
      </c>
      <c r="J25" t="s">
        <v>191</v>
      </c>
    </row>
    <row r="26" spans="1:10" x14ac:dyDescent="0.2">
      <c r="A26">
        <v>5.2444932669536302E-38</v>
      </c>
      <c r="B26">
        <v>0.95555482167174599</v>
      </c>
      <c r="C26">
        <v>0.33400000000000002</v>
      </c>
      <c r="D26">
        <v>1.9E-2</v>
      </c>
      <c r="E26">
        <v>8.1200489252242997E-34</v>
      </c>
      <c r="F26" t="s">
        <v>2446</v>
      </c>
      <c r="G26" t="s">
        <v>2447</v>
      </c>
      <c r="H26" t="s">
        <v>2446</v>
      </c>
      <c r="I26" t="str">
        <f>HYPERLINK("https://zfin.org/ZDB-GENE-110718-2")</f>
        <v>https://zfin.org/ZDB-GENE-110718-2</v>
      </c>
      <c r="J26" t="s">
        <v>2445</v>
      </c>
    </row>
    <row r="27" spans="1:10" x14ac:dyDescent="0.2">
      <c r="A27">
        <v>1.16147098431942E-33</v>
      </c>
      <c r="B27">
        <v>0.97466639058277504</v>
      </c>
      <c r="C27">
        <v>0.436</v>
      </c>
      <c r="D27">
        <v>0.1</v>
      </c>
      <c r="E27">
        <v>1.79830552502176E-29</v>
      </c>
      <c r="F27" t="s">
        <v>1340</v>
      </c>
      <c r="G27" t="s">
        <v>1341</v>
      </c>
      <c r="H27" t="s">
        <v>1340</v>
      </c>
      <c r="I27" t="str">
        <f>HYPERLINK("https://zfin.org/ZDB-GENE-131121-141")</f>
        <v>https://zfin.org/ZDB-GENE-131121-141</v>
      </c>
      <c r="J27" t="s">
        <v>1339</v>
      </c>
    </row>
    <row r="28" spans="1:10" x14ac:dyDescent="0.2">
      <c r="A28">
        <v>1.79430225881282E-32</v>
      </c>
      <c r="B28">
        <v>1.46957164046877</v>
      </c>
      <c r="C28">
        <v>0.47699999999999998</v>
      </c>
      <c r="D28">
        <v>0.16</v>
      </c>
      <c r="E28">
        <v>2.7781181873198902E-28</v>
      </c>
      <c r="F28" t="s">
        <v>1391</v>
      </c>
      <c r="G28" t="s">
        <v>1392</v>
      </c>
      <c r="H28" t="s">
        <v>1391</v>
      </c>
      <c r="I28" t="str">
        <f>HYPERLINK("https://zfin.org/ZDB-GENE-040426-1430")</f>
        <v>https://zfin.org/ZDB-GENE-040426-1430</v>
      </c>
      <c r="J28" t="s">
        <v>1390</v>
      </c>
    </row>
    <row r="29" spans="1:10" x14ac:dyDescent="0.2">
      <c r="A29">
        <v>3.2019313884307501E-31</v>
      </c>
      <c r="B29">
        <v>0.91376838851808295</v>
      </c>
      <c r="C29">
        <v>0.32200000000000001</v>
      </c>
      <c r="D29">
        <v>3.7999999999999999E-2</v>
      </c>
      <c r="E29">
        <v>4.9575503687073301E-27</v>
      </c>
      <c r="F29" t="s">
        <v>2443</v>
      </c>
      <c r="G29" t="s">
        <v>2444</v>
      </c>
      <c r="H29" t="s">
        <v>2443</v>
      </c>
      <c r="I29" t="str">
        <f>HYPERLINK("https://zfin.org/ZDB-GENE-100921-8")</f>
        <v>https://zfin.org/ZDB-GENE-100921-8</v>
      </c>
      <c r="J29" t="s">
        <v>2442</v>
      </c>
    </row>
    <row r="30" spans="1:10" x14ac:dyDescent="0.2">
      <c r="A30">
        <v>3.69745820309269E-31</v>
      </c>
      <c r="B30">
        <v>0.70820054107212105</v>
      </c>
      <c r="C30">
        <v>0.27700000000000002</v>
      </c>
      <c r="D30">
        <v>1.2E-2</v>
      </c>
      <c r="E30">
        <v>5.7247745358484101E-27</v>
      </c>
      <c r="F30" t="s">
        <v>2440</v>
      </c>
      <c r="G30" t="s">
        <v>2441</v>
      </c>
      <c r="H30" t="s">
        <v>2440</v>
      </c>
      <c r="I30" t="str">
        <f>HYPERLINK("https://zfin.org/ZDB-GENE-050417-409")</f>
        <v>https://zfin.org/ZDB-GENE-050417-409</v>
      </c>
      <c r="J30" t="s">
        <v>2439</v>
      </c>
    </row>
    <row r="31" spans="1:10" x14ac:dyDescent="0.2">
      <c r="A31">
        <v>8.0098327017002995E-31</v>
      </c>
      <c r="B31">
        <v>0.79946212026310104</v>
      </c>
      <c r="C31">
        <v>0.52700000000000002</v>
      </c>
      <c r="D31">
        <v>0.18099999999999999</v>
      </c>
      <c r="E31">
        <v>1.24016239720426E-26</v>
      </c>
      <c r="F31" t="s">
        <v>1388</v>
      </c>
      <c r="G31" t="s">
        <v>1389</v>
      </c>
      <c r="H31" t="s">
        <v>1388</v>
      </c>
      <c r="I31" t="str">
        <f>HYPERLINK("https://zfin.org/ZDB-GENE-041210-181")</f>
        <v>https://zfin.org/ZDB-GENE-041210-181</v>
      </c>
      <c r="J31" t="s">
        <v>1387</v>
      </c>
    </row>
    <row r="32" spans="1:10" x14ac:dyDescent="0.2">
      <c r="A32">
        <v>6.8224537736060205E-30</v>
      </c>
      <c r="B32">
        <v>0.69733968900000898</v>
      </c>
      <c r="C32">
        <v>0.26200000000000001</v>
      </c>
      <c r="D32">
        <v>0.01</v>
      </c>
      <c r="E32">
        <v>1.05632051776742E-25</v>
      </c>
      <c r="F32" t="s">
        <v>2437</v>
      </c>
      <c r="G32" t="s">
        <v>2438</v>
      </c>
      <c r="H32" t="s">
        <v>2437</v>
      </c>
      <c r="I32" t="str">
        <f>HYPERLINK("https://zfin.org/ZDB-GENE-080215-10")</f>
        <v>https://zfin.org/ZDB-GENE-080215-10</v>
      </c>
      <c r="J32" t="s">
        <v>2436</v>
      </c>
    </row>
    <row r="33" spans="1:10" x14ac:dyDescent="0.2">
      <c r="A33">
        <v>1.7334023211604701E-28</v>
      </c>
      <c r="B33">
        <v>0.77745877135345298</v>
      </c>
      <c r="C33">
        <v>0.25600000000000001</v>
      </c>
      <c r="D33">
        <v>1.2E-2</v>
      </c>
      <c r="E33">
        <v>2.6838268138527502E-24</v>
      </c>
      <c r="F33" t="s">
        <v>2434</v>
      </c>
      <c r="G33" t="s">
        <v>2435</v>
      </c>
      <c r="H33" t="s">
        <v>2434</v>
      </c>
      <c r="I33" t="str">
        <f>HYPERLINK("https://zfin.org/ZDB-GENE-090313-161")</f>
        <v>https://zfin.org/ZDB-GENE-090313-161</v>
      </c>
      <c r="J33" t="s">
        <v>2433</v>
      </c>
    </row>
    <row r="34" spans="1:10" x14ac:dyDescent="0.2">
      <c r="A34">
        <v>3.7876839846699798E-28</v>
      </c>
      <c r="B34">
        <v>0.83552097605430398</v>
      </c>
      <c r="C34">
        <v>0.59</v>
      </c>
      <c r="D34">
        <v>0.26200000000000001</v>
      </c>
      <c r="E34">
        <v>5.86447111346453E-24</v>
      </c>
      <c r="F34" t="s">
        <v>1969</v>
      </c>
      <c r="G34" t="s">
        <v>1970</v>
      </c>
      <c r="H34" t="s">
        <v>1969</v>
      </c>
      <c r="I34" t="str">
        <f>HYPERLINK("https://zfin.org/ZDB-GENE-120215-253")</f>
        <v>https://zfin.org/ZDB-GENE-120215-253</v>
      </c>
      <c r="J34" t="s">
        <v>1968</v>
      </c>
    </row>
    <row r="35" spans="1:10" x14ac:dyDescent="0.2">
      <c r="A35">
        <v>4.4198171269505298E-28</v>
      </c>
      <c r="B35">
        <v>0.67586336759246302</v>
      </c>
      <c r="C35">
        <v>0.48</v>
      </c>
      <c r="D35">
        <v>0.15</v>
      </c>
      <c r="E35">
        <v>6.8432028576574999E-24</v>
      </c>
      <c r="F35" t="s">
        <v>1442</v>
      </c>
      <c r="G35" t="s">
        <v>1443</v>
      </c>
      <c r="H35" t="s">
        <v>1442</v>
      </c>
      <c r="I35" t="str">
        <f>HYPERLINK("https://zfin.org/ZDB-GENE-041130-1")</f>
        <v>https://zfin.org/ZDB-GENE-041130-1</v>
      </c>
      <c r="J35" t="s">
        <v>1441</v>
      </c>
    </row>
    <row r="36" spans="1:10" x14ac:dyDescent="0.2">
      <c r="A36">
        <v>7.7050658567186504E-26</v>
      </c>
      <c r="B36">
        <v>0.79281933769038604</v>
      </c>
      <c r="C36">
        <v>0.71699999999999997</v>
      </c>
      <c r="D36">
        <v>0.44600000000000001</v>
      </c>
      <c r="E36">
        <v>1.1929753465957501E-21</v>
      </c>
      <c r="F36" t="s">
        <v>1464</v>
      </c>
      <c r="G36" t="s">
        <v>1465</v>
      </c>
      <c r="H36" t="s">
        <v>1464</v>
      </c>
      <c r="I36" t="str">
        <f>HYPERLINK("https://zfin.org/ZDB-GENE-080829-12")</f>
        <v>https://zfin.org/ZDB-GENE-080829-12</v>
      </c>
      <c r="J36" t="s">
        <v>1463</v>
      </c>
    </row>
    <row r="37" spans="1:10" x14ac:dyDescent="0.2">
      <c r="A37">
        <v>6.0704845602952701E-25</v>
      </c>
      <c r="B37">
        <v>0.81608500602686795</v>
      </c>
      <c r="C37">
        <v>0.625</v>
      </c>
      <c r="D37">
        <v>0.34</v>
      </c>
      <c r="E37">
        <v>9.3989312447051596E-21</v>
      </c>
      <c r="F37" t="s">
        <v>797</v>
      </c>
      <c r="G37" t="s">
        <v>798</v>
      </c>
      <c r="H37" t="s">
        <v>797</v>
      </c>
      <c r="I37" t="str">
        <f>HYPERLINK("https://zfin.org/ZDB-GENE-020910-1")</f>
        <v>https://zfin.org/ZDB-GENE-020910-1</v>
      </c>
      <c r="J37" t="s">
        <v>796</v>
      </c>
    </row>
    <row r="38" spans="1:10" x14ac:dyDescent="0.2">
      <c r="A38">
        <v>1.93466528776133E-23</v>
      </c>
      <c r="B38">
        <v>0.55263090162801398</v>
      </c>
      <c r="C38">
        <v>0.80900000000000005</v>
      </c>
      <c r="D38">
        <v>0.64</v>
      </c>
      <c r="E38">
        <v>2.9954422650408699E-19</v>
      </c>
      <c r="F38" t="s">
        <v>133</v>
      </c>
      <c r="G38" t="s">
        <v>134</v>
      </c>
      <c r="H38" t="s">
        <v>133</v>
      </c>
      <c r="I38" t="str">
        <f>HYPERLINK("https://zfin.org/")</f>
        <v>https://zfin.org/</v>
      </c>
    </row>
    <row r="39" spans="1:10" x14ac:dyDescent="0.2">
      <c r="A39">
        <v>1.0564099568772299E-21</v>
      </c>
      <c r="B39">
        <v>0.50156784942242505</v>
      </c>
      <c r="C39">
        <v>0.77100000000000002</v>
      </c>
      <c r="D39">
        <v>0.54200000000000004</v>
      </c>
      <c r="E39">
        <v>1.63563953623302E-17</v>
      </c>
      <c r="F39" t="s">
        <v>282</v>
      </c>
      <c r="G39" t="s">
        <v>283</v>
      </c>
      <c r="H39" t="s">
        <v>282</v>
      </c>
      <c r="I39" t="str">
        <f>HYPERLINK("https://zfin.org/ZDB-GENE-041114-138")</f>
        <v>https://zfin.org/ZDB-GENE-041114-138</v>
      </c>
      <c r="J39" t="s">
        <v>284</v>
      </c>
    </row>
    <row r="40" spans="1:10" x14ac:dyDescent="0.2">
      <c r="A40">
        <v>1.37595001823329E-21</v>
      </c>
      <c r="B40">
        <v>0.59203372228891005</v>
      </c>
      <c r="C40">
        <v>0.65</v>
      </c>
      <c r="D40">
        <v>0.35</v>
      </c>
      <c r="E40">
        <v>2.1303834132305999E-17</v>
      </c>
      <c r="F40" t="s">
        <v>1316</v>
      </c>
      <c r="G40" t="s">
        <v>1317</v>
      </c>
      <c r="H40" t="s">
        <v>1316</v>
      </c>
      <c r="I40" t="str">
        <f>HYPERLINK("https://zfin.org/ZDB-GENE-090915-6")</f>
        <v>https://zfin.org/ZDB-GENE-090915-6</v>
      </c>
      <c r="J40" t="s">
        <v>1315</v>
      </c>
    </row>
    <row r="41" spans="1:10" x14ac:dyDescent="0.2">
      <c r="A41">
        <v>1.3815886849148899E-21</v>
      </c>
      <c r="B41">
        <v>0.57185460936044197</v>
      </c>
      <c r="C41">
        <v>0.79900000000000004</v>
      </c>
      <c r="D41">
        <v>0.61699999999999999</v>
      </c>
      <c r="E41">
        <v>2.1391137608537199E-17</v>
      </c>
      <c r="F41" t="s">
        <v>1482</v>
      </c>
      <c r="G41" t="s">
        <v>1483</v>
      </c>
      <c r="H41" t="s">
        <v>1482</v>
      </c>
      <c r="I41" t="str">
        <f>HYPERLINK("https://zfin.org/ZDB-GENE-040426-2826")</f>
        <v>https://zfin.org/ZDB-GENE-040426-2826</v>
      </c>
      <c r="J41" t="s">
        <v>1481</v>
      </c>
    </row>
    <row r="42" spans="1:10" x14ac:dyDescent="0.2">
      <c r="A42">
        <v>1.5948730080388001E-21</v>
      </c>
      <c r="B42">
        <v>0.648305137821653</v>
      </c>
      <c r="C42">
        <v>0.69899999999999995</v>
      </c>
      <c r="D42">
        <v>0.47899999999999998</v>
      </c>
      <c r="E42">
        <v>2.4693418783464701E-17</v>
      </c>
      <c r="F42" t="s">
        <v>1412</v>
      </c>
      <c r="G42" t="s">
        <v>1413</v>
      </c>
      <c r="H42" t="s">
        <v>1412</v>
      </c>
      <c r="I42" t="str">
        <f>HYPERLINK("https://zfin.org/ZDB-GENE-030428-2")</f>
        <v>https://zfin.org/ZDB-GENE-030428-2</v>
      </c>
      <c r="J42" t="s">
        <v>1411</v>
      </c>
    </row>
    <row r="43" spans="1:10" x14ac:dyDescent="0.2">
      <c r="A43">
        <v>7.8005106435822E-21</v>
      </c>
      <c r="B43">
        <v>0.66403577332848096</v>
      </c>
      <c r="C43">
        <v>0.60699999999999998</v>
      </c>
      <c r="D43">
        <v>0.35399999999999998</v>
      </c>
      <c r="E43">
        <v>1.2077530629458301E-16</v>
      </c>
      <c r="F43" t="s">
        <v>1382</v>
      </c>
      <c r="G43" t="s">
        <v>1383</v>
      </c>
      <c r="H43" t="s">
        <v>1382</v>
      </c>
      <c r="I43" t="str">
        <f>HYPERLINK("https://zfin.org/ZDB-GENE-060929-568")</f>
        <v>https://zfin.org/ZDB-GENE-060929-568</v>
      </c>
      <c r="J43" t="s">
        <v>1381</v>
      </c>
    </row>
    <row r="44" spans="1:10" x14ac:dyDescent="0.2">
      <c r="A44">
        <v>2.4425115300616601E-20</v>
      </c>
      <c r="B44">
        <v>0.56955763435479501</v>
      </c>
      <c r="C44">
        <v>0.184</v>
      </c>
      <c r="D44">
        <v>8.0000000000000002E-3</v>
      </c>
      <c r="E44">
        <v>3.7817406019944701E-16</v>
      </c>
      <c r="F44" t="s">
        <v>2431</v>
      </c>
      <c r="G44" t="s">
        <v>2432</v>
      </c>
      <c r="H44" t="s">
        <v>2431</v>
      </c>
      <c r="I44" t="str">
        <f>HYPERLINK("https://zfin.org/ZDB-GENE-070424-1")</f>
        <v>https://zfin.org/ZDB-GENE-070424-1</v>
      </c>
      <c r="J44" t="s">
        <v>2430</v>
      </c>
    </row>
    <row r="45" spans="1:10" x14ac:dyDescent="0.2">
      <c r="A45">
        <v>3.2454427138321501E-20</v>
      </c>
      <c r="B45">
        <v>0.42283522305245103</v>
      </c>
      <c r="C45">
        <v>0.90400000000000003</v>
      </c>
      <c r="D45">
        <v>0.81</v>
      </c>
      <c r="E45">
        <v>5.0249189538263103E-16</v>
      </c>
      <c r="F45" t="s">
        <v>2018</v>
      </c>
      <c r="G45" t="s">
        <v>2019</v>
      </c>
      <c r="H45" t="s">
        <v>2018</v>
      </c>
      <c r="I45" t="str">
        <f>HYPERLINK("https://zfin.org/ZDB-GENE-000607-83")</f>
        <v>https://zfin.org/ZDB-GENE-000607-83</v>
      </c>
      <c r="J45" t="s">
        <v>2017</v>
      </c>
    </row>
    <row r="46" spans="1:10" x14ac:dyDescent="0.2">
      <c r="A46">
        <v>4.0648111244847301E-20</v>
      </c>
      <c r="B46">
        <v>0.63348614728124897</v>
      </c>
      <c r="C46">
        <v>0.68400000000000005</v>
      </c>
      <c r="D46">
        <v>0.42699999999999999</v>
      </c>
      <c r="E46">
        <v>6.2935470640396997E-16</v>
      </c>
      <c r="F46" t="s">
        <v>2428</v>
      </c>
      <c r="G46" t="s">
        <v>2429</v>
      </c>
      <c r="H46" t="s">
        <v>2428</v>
      </c>
      <c r="I46" t="str">
        <f>HYPERLINK("https://zfin.org/ZDB-GENE-040718-371")</f>
        <v>https://zfin.org/ZDB-GENE-040718-371</v>
      </c>
      <c r="J46" t="s">
        <v>2427</v>
      </c>
    </row>
    <row r="47" spans="1:10" x14ac:dyDescent="0.2">
      <c r="A47">
        <v>7.6556715200352399E-20</v>
      </c>
      <c r="B47">
        <v>0.81095453903334302</v>
      </c>
      <c r="C47">
        <v>0.27900000000000003</v>
      </c>
      <c r="D47">
        <v>6.2E-2</v>
      </c>
      <c r="E47">
        <v>1.1853276214470599E-15</v>
      </c>
      <c r="F47" t="s">
        <v>2425</v>
      </c>
      <c r="G47" t="s">
        <v>2426</v>
      </c>
      <c r="H47" t="s">
        <v>2425</v>
      </c>
      <c r="I47" t="str">
        <f>HYPERLINK("https://zfin.org/ZDB-GENE-070820-6")</f>
        <v>https://zfin.org/ZDB-GENE-070820-6</v>
      </c>
      <c r="J47" t="s">
        <v>2424</v>
      </c>
    </row>
    <row r="48" spans="1:10" x14ac:dyDescent="0.2">
      <c r="A48">
        <v>1.3181253947962999E-19</v>
      </c>
      <c r="B48">
        <v>0.58403226704359301</v>
      </c>
      <c r="C48">
        <v>0.70499999999999996</v>
      </c>
      <c r="D48">
        <v>0.44600000000000001</v>
      </c>
      <c r="E48">
        <v>2.0408535487631101E-15</v>
      </c>
      <c r="F48" t="s">
        <v>1629</v>
      </c>
      <c r="G48" t="s">
        <v>1630</v>
      </c>
      <c r="H48" t="s">
        <v>1629</v>
      </c>
      <c r="I48" t="str">
        <f>HYPERLINK("https://zfin.org/ZDB-GENE-070424-74")</f>
        <v>https://zfin.org/ZDB-GENE-070424-74</v>
      </c>
      <c r="J48" t="s">
        <v>1628</v>
      </c>
    </row>
    <row r="49" spans="1:10" x14ac:dyDescent="0.2">
      <c r="A49">
        <v>2.2723497984206202E-19</v>
      </c>
      <c r="B49">
        <v>0.56539026122153202</v>
      </c>
      <c r="C49">
        <v>0.193</v>
      </c>
      <c r="D49">
        <v>1.7000000000000001E-2</v>
      </c>
      <c r="E49">
        <v>3.5182791928946401E-15</v>
      </c>
      <c r="F49" t="s">
        <v>2422</v>
      </c>
      <c r="G49" t="s">
        <v>2423</v>
      </c>
      <c r="H49" t="s">
        <v>2422</v>
      </c>
      <c r="I49" t="str">
        <f>HYPERLINK("https://zfin.org/ZDB-GENE-111004-2")</f>
        <v>https://zfin.org/ZDB-GENE-111004-2</v>
      </c>
      <c r="J49" t="s">
        <v>2421</v>
      </c>
    </row>
    <row r="50" spans="1:10" x14ac:dyDescent="0.2">
      <c r="A50">
        <v>3.6968252632355599E-19</v>
      </c>
      <c r="B50">
        <v>0.53215881244067498</v>
      </c>
      <c r="C50">
        <v>0.18</v>
      </c>
      <c r="D50">
        <v>0.01</v>
      </c>
      <c r="E50">
        <v>5.7237945550676202E-15</v>
      </c>
      <c r="F50" t="s">
        <v>2419</v>
      </c>
      <c r="G50" t="s">
        <v>2420</v>
      </c>
      <c r="H50" t="s">
        <v>2419</v>
      </c>
      <c r="I50" t="str">
        <f>HYPERLINK("https://zfin.org/ZDB-GENE-060929-512")</f>
        <v>https://zfin.org/ZDB-GENE-060929-512</v>
      </c>
      <c r="J50" t="s">
        <v>2418</v>
      </c>
    </row>
    <row r="51" spans="1:10" x14ac:dyDescent="0.2">
      <c r="A51">
        <v>1.1661859384478599E-18</v>
      </c>
      <c r="B51">
        <v>0.608867451109942</v>
      </c>
      <c r="C51">
        <v>0.69899999999999995</v>
      </c>
      <c r="D51">
        <v>0.45200000000000001</v>
      </c>
      <c r="E51">
        <v>1.80560568849883E-14</v>
      </c>
      <c r="F51" t="s">
        <v>249</v>
      </c>
      <c r="G51" t="s">
        <v>250</v>
      </c>
      <c r="H51" t="s">
        <v>249</v>
      </c>
      <c r="I51" t="str">
        <f>HYPERLINK("https://zfin.org/ZDB-GENE-141212-380")</f>
        <v>https://zfin.org/ZDB-GENE-141212-380</v>
      </c>
      <c r="J51" t="s">
        <v>251</v>
      </c>
    </row>
    <row r="52" spans="1:10" x14ac:dyDescent="0.2">
      <c r="A52">
        <v>3.6192255010554703E-18</v>
      </c>
      <c r="B52">
        <v>0.58145593928586803</v>
      </c>
      <c r="C52">
        <v>0.16600000000000001</v>
      </c>
      <c r="D52">
        <v>8.0000000000000002E-3</v>
      </c>
      <c r="E52">
        <v>5.6036468432841799E-14</v>
      </c>
      <c r="F52" t="s">
        <v>2416</v>
      </c>
      <c r="G52" t="s">
        <v>2417</v>
      </c>
      <c r="H52" t="s">
        <v>2416</v>
      </c>
      <c r="I52" t="str">
        <f>HYPERLINK("https://zfin.org/ZDB-GENE-020320-4")</f>
        <v>https://zfin.org/ZDB-GENE-020320-4</v>
      </c>
      <c r="J52" t="s">
        <v>2415</v>
      </c>
    </row>
    <row r="53" spans="1:10" x14ac:dyDescent="0.2">
      <c r="A53">
        <v>8.5046271561482501E-18</v>
      </c>
      <c r="B53">
        <v>0.30028167844927001</v>
      </c>
      <c r="C53">
        <v>0.98599999999999999</v>
      </c>
      <c r="D53">
        <v>0.97099999999999997</v>
      </c>
      <c r="E53">
        <v>1.31677142258643E-13</v>
      </c>
      <c r="F53" t="s">
        <v>730</v>
      </c>
      <c r="G53" t="s">
        <v>731</v>
      </c>
      <c r="H53" t="s">
        <v>730</v>
      </c>
      <c r="I53" t="str">
        <f>HYPERLINK("https://zfin.org/ZDB-GENE-040718-72")</f>
        <v>https://zfin.org/ZDB-GENE-040718-72</v>
      </c>
      <c r="J53" t="s">
        <v>729</v>
      </c>
    </row>
    <row r="54" spans="1:10" x14ac:dyDescent="0.2">
      <c r="A54">
        <v>1.18141864145512E-17</v>
      </c>
      <c r="B54">
        <v>0.47946317454116799</v>
      </c>
      <c r="C54">
        <v>0.41399999999999998</v>
      </c>
      <c r="D54">
        <v>0.16</v>
      </c>
      <c r="E54">
        <v>1.8291904825649701E-13</v>
      </c>
      <c r="F54" t="s">
        <v>2413</v>
      </c>
      <c r="G54" t="s">
        <v>2414</v>
      </c>
      <c r="H54" t="s">
        <v>2413</v>
      </c>
      <c r="I54" t="str">
        <f>HYPERLINK("https://zfin.org/ZDB-GENE-040801-58")</f>
        <v>https://zfin.org/ZDB-GENE-040801-58</v>
      </c>
      <c r="J54" t="s">
        <v>2412</v>
      </c>
    </row>
    <row r="55" spans="1:10" x14ac:dyDescent="0.2">
      <c r="A55">
        <v>1.5549435694395599E-17</v>
      </c>
      <c r="B55">
        <v>0.59913009215786095</v>
      </c>
      <c r="C55">
        <v>0.38300000000000001</v>
      </c>
      <c r="D55">
        <v>0.14399999999999999</v>
      </c>
      <c r="E55">
        <v>2.4075191285632698E-13</v>
      </c>
      <c r="F55" t="s">
        <v>2410</v>
      </c>
      <c r="G55" t="s">
        <v>2411</v>
      </c>
      <c r="H55" t="s">
        <v>2410</v>
      </c>
      <c r="I55" t="str">
        <f>HYPERLINK("https://zfin.org/ZDB-GENE-040718-449")</f>
        <v>https://zfin.org/ZDB-GENE-040718-449</v>
      </c>
      <c r="J55" t="s">
        <v>2409</v>
      </c>
    </row>
    <row r="56" spans="1:10" x14ac:dyDescent="0.2">
      <c r="A56">
        <v>2.17473644541755E-17</v>
      </c>
      <c r="B56">
        <v>0.54365473411777798</v>
      </c>
      <c r="C56">
        <v>0.83599999999999997</v>
      </c>
      <c r="D56">
        <v>0.81699999999999995</v>
      </c>
      <c r="E56">
        <v>3.3671444384399999E-13</v>
      </c>
      <c r="F56" t="s">
        <v>156</v>
      </c>
      <c r="G56" t="s">
        <v>157</v>
      </c>
      <c r="H56" t="s">
        <v>156</v>
      </c>
      <c r="I56" t="str">
        <f>HYPERLINK("https://zfin.org/ZDB-GENE-141222-6")</f>
        <v>https://zfin.org/ZDB-GENE-141222-6</v>
      </c>
      <c r="J56" t="s">
        <v>158</v>
      </c>
    </row>
    <row r="57" spans="1:10" x14ac:dyDescent="0.2">
      <c r="A57">
        <v>3.5287299610523602E-17</v>
      </c>
      <c r="B57">
        <v>0.51436400629000401</v>
      </c>
      <c r="C57">
        <v>0.50600000000000001</v>
      </c>
      <c r="D57">
        <v>0.25</v>
      </c>
      <c r="E57">
        <v>5.4635325986973696E-13</v>
      </c>
      <c r="F57" t="s">
        <v>1448</v>
      </c>
      <c r="G57" t="s">
        <v>1449</v>
      </c>
      <c r="H57" t="s">
        <v>1448</v>
      </c>
      <c r="I57" t="str">
        <f>HYPERLINK("https://zfin.org/ZDB-GENE-070719-5")</f>
        <v>https://zfin.org/ZDB-GENE-070719-5</v>
      </c>
      <c r="J57" t="s">
        <v>1447</v>
      </c>
    </row>
    <row r="58" spans="1:10" x14ac:dyDescent="0.2">
      <c r="A58">
        <v>3.8772264345689003E-17</v>
      </c>
      <c r="B58">
        <v>0.44397047732593298</v>
      </c>
      <c r="C58">
        <v>0.14299999999999999</v>
      </c>
      <c r="D58">
        <v>2E-3</v>
      </c>
      <c r="E58">
        <v>6.0031096886430203E-13</v>
      </c>
      <c r="F58" t="s">
        <v>2407</v>
      </c>
      <c r="G58" t="s">
        <v>2408</v>
      </c>
      <c r="H58" t="s">
        <v>2407</v>
      </c>
      <c r="I58" t="str">
        <f>HYPERLINK("https://zfin.org/ZDB-GENE-980526-260")</f>
        <v>https://zfin.org/ZDB-GENE-980526-260</v>
      </c>
      <c r="J58" t="s">
        <v>2406</v>
      </c>
    </row>
    <row r="59" spans="1:10" x14ac:dyDescent="0.2">
      <c r="A59">
        <v>1.3438302319274599E-16</v>
      </c>
      <c r="B59">
        <v>0.49643991757615102</v>
      </c>
      <c r="C59">
        <v>0.6</v>
      </c>
      <c r="D59">
        <v>0.36199999999999999</v>
      </c>
      <c r="E59">
        <v>2.0806523480932899E-12</v>
      </c>
      <c r="F59" t="s">
        <v>2404</v>
      </c>
      <c r="G59" t="s">
        <v>2405</v>
      </c>
      <c r="H59" t="s">
        <v>2404</v>
      </c>
      <c r="I59" t="str">
        <f>HYPERLINK("https://zfin.org/ZDB-GENE-040801-77")</f>
        <v>https://zfin.org/ZDB-GENE-040801-77</v>
      </c>
      <c r="J59" t="s">
        <v>2403</v>
      </c>
    </row>
    <row r="60" spans="1:10" x14ac:dyDescent="0.2">
      <c r="A60">
        <v>2.4774696452174E-16</v>
      </c>
      <c r="B60">
        <v>0.46070427804483599</v>
      </c>
      <c r="C60">
        <v>0.13100000000000001</v>
      </c>
      <c r="D60">
        <v>0</v>
      </c>
      <c r="E60">
        <v>3.8358662516901099E-12</v>
      </c>
      <c r="F60" t="s">
        <v>2401</v>
      </c>
      <c r="G60" t="s">
        <v>2402</v>
      </c>
      <c r="H60" t="s">
        <v>2401</v>
      </c>
      <c r="I60" t="str">
        <f>HYPERLINK("https://zfin.org/ZDB-GENE-070112-2242")</f>
        <v>https://zfin.org/ZDB-GENE-070112-2242</v>
      </c>
      <c r="J60" t="s">
        <v>2400</v>
      </c>
    </row>
    <row r="61" spans="1:10" x14ac:dyDescent="0.2">
      <c r="A61">
        <v>1.0659071444121201E-15</v>
      </c>
      <c r="B61">
        <v>0.44398107283846899</v>
      </c>
      <c r="C61">
        <v>0.25800000000000001</v>
      </c>
      <c r="D61">
        <v>6.7000000000000004E-2</v>
      </c>
      <c r="E61">
        <v>1.6503440316932801E-11</v>
      </c>
      <c r="F61" t="s">
        <v>2398</v>
      </c>
      <c r="G61" t="s">
        <v>2399</v>
      </c>
      <c r="H61" t="s">
        <v>2398</v>
      </c>
      <c r="I61" t="str">
        <f>HYPERLINK("https://zfin.org/ZDB-GENE-061201-42")</f>
        <v>https://zfin.org/ZDB-GENE-061201-42</v>
      </c>
      <c r="J61" t="s">
        <v>2397</v>
      </c>
    </row>
    <row r="62" spans="1:10" x14ac:dyDescent="0.2">
      <c r="A62">
        <v>4.3313592501480601E-15</v>
      </c>
      <c r="B62">
        <v>0.47518155341429802</v>
      </c>
      <c r="C62">
        <v>0.19700000000000001</v>
      </c>
      <c r="D62">
        <v>3.5000000000000003E-2</v>
      </c>
      <c r="E62">
        <v>6.7062435270042497E-11</v>
      </c>
      <c r="F62" t="s">
        <v>2395</v>
      </c>
      <c r="G62" t="s">
        <v>2396</v>
      </c>
      <c r="H62" t="s">
        <v>2395</v>
      </c>
      <c r="I62" t="str">
        <f>HYPERLINK("https://zfin.org/ZDB-GENE-080204-14")</f>
        <v>https://zfin.org/ZDB-GENE-080204-14</v>
      </c>
      <c r="J62" t="s">
        <v>2394</v>
      </c>
    </row>
    <row r="63" spans="1:10" x14ac:dyDescent="0.2">
      <c r="A63">
        <v>3.40816495223666E-14</v>
      </c>
      <c r="B63">
        <v>0.34078111793379001</v>
      </c>
      <c r="C63">
        <v>0.95499999999999996</v>
      </c>
      <c r="D63">
        <v>0.88100000000000001</v>
      </c>
      <c r="E63">
        <v>5.2768617955480303E-10</v>
      </c>
      <c r="F63" t="s">
        <v>97</v>
      </c>
      <c r="G63" t="s">
        <v>98</v>
      </c>
      <c r="H63" t="s">
        <v>97</v>
      </c>
      <c r="I63" t="str">
        <f>HYPERLINK("https://zfin.org/ZDB-GENE-000210-15")</f>
        <v>https://zfin.org/ZDB-GENE-000210-15</v>
      </c>
      <c r="J63" t="s">
        <v>99</v>
      </c>
    </row>
    <row r="64" spans="1:10" x14ac:dyDescent="0.2">
      <c r="A64">
        <v>4.3878512128751801E-14</v>
      </c>
      <c r="B64">
        <v>0.39360308983106701</v>
      </c>
      <c r="C64">
        <v>0.13300000000000001</v>
      </c>
      <c r="D64">
        <v>8.0000000000000002E-3</v>
      </c>
      <c r="E64">
        <v>6.7937100328946404E-10</v>
      </c>
      <c r="F64" t="s">
        <v>2392</v>
      </c>
      <c r="G64" t="s">
        <v>2393</v>
      </c>
      <c r="H64" t="s">
        <v>2392</v>
      </c>
      <c r="I64" t="str">
        <f>HYPERLINK("https://zfin.org/ZDB-GENE-070620-8")</f>
        <v>https://zfin.org/ZDB-GENE-070620-8</v>
      </c>
      <c r="J64" t="s">
        <v>2391</v>
      </c>
    </row>
    <row r="65" spans="1:10" x14ac:dyDescent="0.2">
      <c r="A65">
        <v>5.6206756354900599E-14</v>
      </c>
      <c r="B65">
        <v>0.64269613065695097</v>
      </c>
      <c r="C65">
        <v>0.42799999999999999</v>
      </c>
      <c r="D65">
        <v>0.20599999999999999</v>
      </c>
      <c r="E65">
        <v>8.7024920864292497E-10</v>
      </c>
      <c r="F65" t="s">
        <v>2003</v>
      </c>
      <c r="G65" t="s">
        <v>2004</v>
      </c>
      <c r="H65" t="s">
        <v>2003</v>
      </c>
      <c r="I65" t="str">
        <f>HYPERLINK("https://zfin.org/ZDB-GENE-070119-3")</f>
        <v>https://zfin.org/ZDB-GENE-070119-3</v>
      </c>
      <c r="J65" t="s">
        <v>2002</v>
      </c>
    </row>
    <row r="66" spans="1:10" x14ac:dyDescent="0.2">
      <c r="A66">
        <v>1.2432547727074601E-13</v>
      </c>
      <c r="B66">
        <v>0.47815630401544901</v>
      </c>
      <c r="C66">
        <v>0.184</v>
      </c>
      <c r="D66">
        <v>3.5000000000000003E-2</v>
      </c>
      <c r="E66">
        <v>1.9249313645829699E-9</v>
      </c>
      <c r="F66" t="s">
        <v>2389</v>
      </c>
      <c r="G66" t="s">
        <v>2390</v>
      </c>
      <c r="H66" t="s">
        <v>2389</v>
      </c>
      <c r="I66" t="str">
        <f>HYPERLINK("https://zfin.org/ZDB-GENE-111109-3")</f>
        <v>https://zfin.org/ZDB-GENE-111109-3</v>
      </c>
      <c r="J66" t="s">
        <v>2388</v>
      </c>
    </row>
    <row r="67" spans="1:10" x14ac:dyDescent="0.2">
      <c r="A67">
        <v>1.9226224260527999E-13</v>
      </c>
      <c r="B67">
        <v>0.29537385097560098</v>
      </c>
      <c r="C67">
        <v>0.93600000000000005</v>
      </c>
      <c r="D67">
        <v>0.9</v>
      </c>
      <c r="E67">
        <v>2.97679630225754E-9</v>
      </c>
      <c r="F67" t="s">
        <v>61</v>
      </c>
      <c r="G67" t="s">
        <v>62</v>
      </c>
      <c r="H67" t="s">
        <v>61</v>
      </c>
      <c r="I67" t="str">
        <f>HYPERLINK("https://zfin.org/ZDB-GENE-010726-1")</f>
        <v>https://zfin.org/ZDB-GENE-010726-1</v>
      </c>
      <c r="J67" t="s">
        <v>63</v>
      </c>
    </row>
    <row r="68" spans="1:10" x14ac:dyDescent="0.2">
      <c r="A68">
        <v>5.8173407560964495E-13</v>
      </c>
      <c r="B68">
        <v>0.351830503238518</v>
      </c>
      <c r="C68">
        <v>0.13300000000000001</v>
      </c>
      <c r="D68">
        <v>1.2E-2</v>
      </c>
      <c r="E68">
        <v>9.0069886926641294E-9</v>
      </c>
      <c r="F68" t="s">
        <v>2386</v>
      </c>
      <c r="G68" t="s">
        <v>2387</v>
      </c>
      <c r="H68" t="s">
        <v>2386</v>
      </c>
      <c r="I68" t="str">
        <f>HYPERLINK("https://zfin.org/ZDB-GENE-030131-4218")</f>
        <v>https://zfin.org/ZDB-GENE-030131-4218</v>
      </c>
      <c r="J68" t="s">
        <v>2385</v>
      </c>
    </row>
    <row r="69" spans="1:10" x14ac:dyDescent="0.2">
      <c r="A69">
        <v>9.7941180403437895E-13</v>
      </c>
      <c r="B69">
        <v>0.63092322054170602</v>
      </c>
      <c r="C69">
        <v>0.35899999999999999</v>
      </c>
      <c r="D69">
        <v>0.16700000000000001</v>
      </c>
      <c r="E69">
        <v>1.5164232961864301E-8</v>
      </c>
      <c r="F69" t="s">
        <v>2383</v>
      </c>
      <c r="G69" t="s">
        <v>2384</v>
      </c>
      <c r="H69" t="s">
        <v>2383</v>
      </c>
      <c r="I69" t="str">
        <f>HYPERLINK("https://zfin.org/ZDB-GENE-030707-2")</f>
        <v>https://zfin.org/ZDB-GENE-030707-2</v>
      </c>
      <c r="J69" t="s">
        <v>2382</v>
      </c>
    </row>
    <row r="70" spans="1:10" x14ac:dyDescent="0.2">
      <c r="A70">
        <v>1.0239071551196399E-12</v>
      </c>
      <c r="B70">
        <v>0.65214801747051598</v>
      </c>
      <c r="C70">
        <v>0.38300000000000001</v>
      </c>
      <c r="D70">
        <v>0.185</v>
      </c>
      <c r="E70">
        <v>1.5853154482717399E-8</v>
      </c>
      <c r="F70" t="s">
        <v>2380</v>
      </c>
      <c r="G70" t="s">
        <v>2381</v>
      </c>
      <c r="H70" t="s">
        <v>2380</v>
      </c>
      <c r="I70" t="str">
        <f>HYPERLINK("https://zfin.org/ZDB-GENE-070627-1")</f>
        <v>https://zfin.org/ZDB-GENE-070627-1</v>
      </c>
      <c r="J70" t="s">
        <v>2379</v>
      </c>
    </row>
    <row r="71" spans="1:10" x14ac:dyDescent="0.2">
      <c r="A71">
        <v>1.12934142627373E-12</v>
      </c>
      <c r="B71">
        <v>0.35647525553984999</v>
      </c>
      <c r="C71">
        <v>0.14099999999999999</v>
      </c>
      <c r="D71">
        <v>1.7000000000000001E-2</v>
      </c>
      <c r="E71">
        <v>1.74855933029962E-8</v>
      </c>
      <c r="F71" t="s">
        <v>2377</v>
      </c>
      <c r="G71" t="s">
        <v>2378</v>
      </c>
      <c r="H71" t="s">
        <v>2377</v>
      </c>
      <c r="I71" t="str">
        <f>HYPERLINK("https://zfin.org/ZDB-GENE-060929-528")</f>
        <v>https://zfin.org/ZDB-GENE-060929-528</v>
      </c>
      <c r="J71" t="s">
        <v>2376</v>
      </c>
    </row>
    <row r="72" spans="1:10" x14ac:dyDescent="0.2">
      <c r="A72">
        <v>1.4525414680779E-12</v>
      </c>
      <c r="B72">
        <v>0.37011365128599399</v>
      </c>
      <c r="C72">
        <v>0.18</v>
      </c>
      <c r="D72">
        <v>3.7999999999999999E-2</v>
      </c>
      <c r="E72">
        <v>2.24896995502502E-8</v>
      </c>
      <c r="F72" t="s">
        <v>2374</v>
      </c>
      <c r="G72" t="s">
        <v>2375</v>
      </c>
      <c r="H72" t="s">
        <v>2374</v>
      </c>
      <c r="I72" t="str">
        <f>HYPERLINK("https://zfin.org/ZDB-GENE-070112-2282")</f>
        <v>https://zfin.org/ZDB-GENE-070112-2282</v>
      </c>
      <c r="J72" t="s">
        <v>2373</v>
      </c>
    </row>
    <row r="73" spans="1:10" x14ac:dyDescent="0.2">
      <c r="A73">
        <v>1.7666617515307701E-12</v>
      </c>
      <c r="B73">
        <v>0.59304262491978299</v>
      </c>
      <c r="C73">
        <v>0.498</v>
      </c>
      <c r="D73">
        <v>0.30399999999999999</v>
      </c>
      <c r="E73">
        <v>2.7353223898951E-8</v>
      </c>
      <c r="F73" t="s">
        <v>2371</v>
      </c>
      <c r="G73" t="s">
        <v>2372</v>
      </c>
      <c r="H73" t="s">
        <v>2371</v>
      </c>
      <c r="I73" t="str">
        <f>HYPERLINK("https://zfin.org/ZDB-GENE-100922-65")</f>
        <v>https://zfin.org/ZDB-GENE-100922-65</v>
      </c>
      <c r="J73" t="s">
        <v>2370</v>
      </c>
    </row>
    <row r="74" spans="1:10" x14ac:dyDescent="0.2">
      <c r="A74">
        <v>2.1156476491855599E-12</v>
      </c>
      <c r="B74">
        <v>0.484887080088024</v>
      </c>
      <c r="C74">
        <v>0.41199999999999998</v>
      </c>
      <c r="D74">
        <v>0.20200000000000001</v>
      </c>
      <c r="E74">
        <v>3.2756572552340103E-8</v>
      </c>
      <c r="F74" t="s">
        <v>2369</v>
      </c>
      <c r="G74" t="s">
        <v>2368</v>
      </c>
      <c r="H74" t="s">
        <v>2367</v>
      </c>
      <c r="I74" t="str">
        <f>HYPERLINK("https://zfin.org/")</f>
        <v>https://zfin.org/</v>
      </c>
      <c r="J74" t="s">
        <v>2366</v>
      </c>
    </row>
    <row r="75" spans="1:10" x14ac:dyDescent="0.2">
      <c r="A75">
        <v>2.1592650657181598E-12</v>
      </c>
      <c r="B75">
        <v>0.36934638888884702</v>
      </c>
      <c r="C75">
        <v>0.72499999999999998</v>
      </c>
      <c r="D75">
        <v>0.52700000000000002</v>
      </c>
      <c r="E75">
        <v>3.3431901012514299E-8</v>
      </c>
      <c r="F75" t="s">
        <v>1677</v>
      </c>
      <c r="G75" t="s">
        <v>1678</v>
      </c>
      <c r="H75" t="s">
        <v>1677</v>
      </c>
      <c r="I75" t="str">
        <f>HYPERLINK("https://zfin.org/ZDB-GENE-080204-124")</f>
        <v>https://zfin.org/ZDB-GENE-080204-124</v>
      </c>
      <c r="J75" t="s">
        <v>1676</v>
      </c>
    </row>
    <row r="76" spans="1:10" x14ac:dyDescent="0.2">
      <c r="A76">
        <v>2.5577458142488501E-12</v>
      </c>
      <c r="B76">
        <v>0.41213550733676702</v>
      </c>
      <c r="C76">
        <v>0.14499999999999999</v>
      </c>
      <c r="D76">
        <v>2.1000000000000001E-2</v>
      </c>
      <c r="E76">
        <v>3.9601578442014903E-8</v>
      </c>
      <c r="F76" t="s">
        <v>2364</v>
      </c>
      <c r="G76" t="s">
        <v>2365</v>
      </c>
      <c r="H76" t="s">
        <v>2364</v>
      </c>
      <c r="I76" t="str">
        <f>HYPERLINK("https://zfin.org/ZDB-GENE-090406-1")</f>
        <v>https://zfin.org/ZDB-GENE-090406-1</v>
      </c>
      <c r="J76" t="s">
        <v>2363</v>
      </c>
    </row>
    <row r="77" spans="1:10" x14ac:dyDescent="0.2">
      <c r="A77">
        <v>3.7558236111808401E-12</v>
      </c>
      <c r="B77">
        <v>0.51015858490556398</v>
      </c>
      <c r="C77">
        <v>0.14599999999999999</v>
      </c>
      <c r="D77">
        <v>2.3E-2</v>
      </c>
      <c r="E77">
        <v>5.8151416971913003E-8</v>
      </c>
      <c r="F77" t="s">
        <v>2361</v>
      </c>
      <c r="G77" t="s">
        <v>2362</v>
      </c>
      <c r="H77" t="s">
        <v>2361</v>
      </c>
      <c r="I77" t="str">
        <f>HYPERLINK("https://zfin.org/ZDB-GENE-110418-1")</f>
        <v>https://zfin.org/ZDB-GENE-110418-1</v>
      </c>
      <c r="J77" t="s">
        <v>2360</v>
      </c>
    </row>
    <row r="78" spans="1:10" x14ac:dyDescent="0.2">
      <c r="A78">
        <v>5.60128460874526E-12</v>
      </c>
      <c r="B78">
        <v>0.273077410111356</v>
      </c>
      <c r="C78">
        <v>0.105</v>
      </c>
      <c r="D78">
        <v>4.0000000000000001E-3</v>
      </c>
      <c r="E78">
        <v>8.6724689597202896E-8</v>
      </c>
      <c r="F78" t="s">
        <v>2358</v>
      </c>
      <c r="G78" t="s">
        <v>2359</v>
      </c>
      <c r="H78" t="s">
        <v>2358</v>
      </c>
      <c r="I78" t="str">
        <f>HYPERLINK("https://zfin.org/ZDB-GENE-030826-5")</f>
        <v>https://zfin.org/ZDB-GENE-030826-5</v>
      </c>
      <c r="J78" t="s">
        <v>2357</v>
      </c>
    </row>
    <row r="79" spans="1:10" x14ac:dyDescent="0.2">
      <c r="A79">
        <v>7.1082197947998904E-12</v>
      </c>
      <c r="B79">
        <v>0.42854765449165</v>
      </c>
      <c r="C79">
        <v>0.223</v>
      </c>
      <c r="D79">
        <v>6.7000000000000004E-2</v>
      </c>
      <c r="E79">
        <v>1.10056567082887E-7</v>
      </c>
      <c r="F79" t="s">
        <v>2355</v>
      </c>
      <c r="G79" t="s">
        <v>2356</v>
      </c>
      <c r="H79" t="s">
        <v>2355</v>
      </c>
      <c r="I79" t="str">
        <f>HYPERLINK("https://zfin.org/ZDB-GENE-060503-918")</f>
        <v>https://zfin.org/ZDB-GENE-060503-918</v>
      </c>
      <c r="J79" t="s">
        <v>2354</v>
      </c>
    </row>
    <row r="80" spans="1:10" x14ac:dyDescent="0.2">
      <c r="A80">
        <v>7.4650235387391905E-12</v>
      </c>
      <c r="B80">
        <v>0.53169903191629997</v>
      </c>
      <c r="C80">
        <v>0.34399999999999997</v>
      </c>
      <c r="D80">
        <v>0.158</v>
      </c>
      <c r="E80">
        <v>1.15580959450299E-7</v>
      </c>
      <c r="F80" t="s">
        <v>2352</v>
      </c>
      <c r="G80" t="s">
        <v>2353</v>
      </c>
      <c r="H80" t="s">
        <v>2352</v>
      </c>
      <c r="I80" t="str">
        <f>HYPERLINK("https://zfin.org/ZDB-GENE-030131-2913")</f>
        <v>https://zfin.org/ZDB-GENE-030131-2913</v>
      </c>
      <c r="J80" t="s">
        <v>2351</v>
      </c>
    </row>
    <row r="81" spans="1:10" x14ac:dyDescent="0.2">
      <c r="A81">
        <v>1.03258659099002E-11</v>
      </c>
      <c r="B81">
        <v>0.40226983318030202</v>
      </c>
      <c r="C81">
        <v>0.34399999999999997</v>
      </c>
      <c r="D81">
        <v>0.152</v>
      </c>
      <c r="E81">
        <v>1.5987538188298399E-7</v>
      </c>
      <c r="F81" t="s">
        <v>2349</v>
      </c>
      <c r="G81" t="s">
        <v>2350</v>
      </c>
      <c r="H81" t="s">
        <v>2349</v>
      </c>
      <c r="I81" t="str">
        <f>HYPERLINK("https://zfin.org/ZDB-GENE-000831-5")</f>
        <v>https://zfin.org/ZDB-GENE-000831-5</v>
      </c>
      <c r="J81" t="s">
        <v>2348</v>
      </c>
    </row>
    <row r="82" spans="1:10" x14ac:dyDescent="0.2">
      <c r="A82">
        <v>1.19727910506423E-11</v>
      </c>
      <c r="B82">
        <v>0.39629598567077801</v>
      </c>
      <c r="C82">
        <v>0.27100000000000002</v>
      </c>
      <c r="D82">
        <v>0.1</v>
      </c>
      <c r="E82">
        <v>1.8537472383709501E-7</v>
      </c>
      <c r="F82" t="s">
        <v>2346</v>
      </c>
      <c r="G82" t="s">
        <v>2347</v>
      </c>
      <c r="H82" t="s">
        <v>2346</v>
      </c>
      <c r="I82" t="str">
        <f>HYPERLINK("https://zfin.org/ZDB-GENE-040426-2762")</f>
        <v>https://zfin.org/ZDB-GENE-040426-2762</v>
      </c>
      <c r="J82" t="s">
        <v>2345</v>
      </c>
    </row>
    <row r="83" spans="1:10" x14ac:dyDescent="0.2">
      <c r="A83">
        <v>1.9104255139579799E-11</v>
      </c>
      <c r="B83">
        <v>0.50533880771219597</v>
      </c>
      <c r="C83">
        <v>0.14099999999999999</v>
      </c>
      <c r="D83">
        <v>2.3E-2</v>
      </c>
      <c r="E83">
        <v>2.9579118232611401E-7</v>
      </c>
      <c r="F83" t="s">
        <v>2343</v>
      </c>
      <c r="G83" t="s">
        <v>2344</v>
      </c>
      <c r="H83" t="s">
        <v>2343</v>
      </c>
      <c r="I83" t="str">
        <f>HYPERLINK("https://zfin.org/ZDB-GENE-000627-1")</f>
        <v>https://zfin.org/ZDB-GENE-000627-1</v>
      </c>
      <c r="J83" t="s">
        <v>2342</v>
      </c>
    </row>
    <row r="84" spans="1:10" x14ac:dyDescent="0.2">
      <c r="A84">
        <v>3.3638002567769001E-11</v>
      </c>
      <c r="B84">
        <v>0.26589258237103403</v>
      </c>
      <c r="C84">
        <v>0.104</v>
      </c>
      <c r="D84">
        <v>6.0000000000000001E-3</v>
      </c>
      <c r="E84">
        <v>5.2081719375676799E-7</v>
      </c>
      <c r="F84" t="s">
        <v>2340</v>
      </c>
      <c r="G84" t="s">
        <v>2341</v>
      </c>
      <c r="H84" t="s">
        <v>2340</v>
      </c>
      <c r="I84" t="str">
        <f>HYPERLINK("https://zfin.org/ZDB-GENE-980526-397")</f>
        <v>https://zfin.org/ZDB-GENE-980526-397</v>
      </c>
      <c r="J84" t="s">
        <v>2339</v>
      </c>
    </row>
    <row r="85" spans="1:10" x14ac:dyDescent="0.2">
      <c r="A85">
        <v>4.7219892817907403E-11</v>
      </c>
      <c r="B85">
        <v>0.63256036149009898</v>
      </c>
      <c r="C85">
        <v>0.318</v>
      </c>
      <c r="D85">
        <v>0.14799999999999999</v>
      </c>
      <c r="E85">
        <v>7.3110560049966099E-7</v>
      </c>
      <c r="F85" t="s">
        <v>1707</v>
      </c>
      <c r="G85" t="s">
        <v>1708</v>
      </c>
      <c r="H85" t="s">
        <v>1707</v>
      </c>
      <c r="I85" t="str">
        <f>HYPERLINK("https://zfin.org/ZDB-GENE-020111-4")</f>
        <v>https://zfin.org/ZDB-GENE-020111-4</v>
      </c>
      <c r="J85" t="s">
        <v>1706</v>
      </c>
    </row>
    <row r="86" spans="1:10" x14ac:dyDescent="0.2">
      <c r="A86">
        <v>5.8740706264735203E-11</v>
      </c>
      <c r="B86">
        <v>0.451417691730574</v>
      </c>
      <c r="C86">
        <v>0.115</v>
      </c>
      <c r="D86">
        <v>1.2E-2</v>
      </c>
      <c r="E86">
        <v>9.0948235509689505E-7</v>
      </c>
      <c r="F86" t="s">
        <v>2337</v>
      </c>
      <c r="G86" t="s">
        <v>2338</v>
      </c>
      <c r="H86" t="s">
        <v>2337</v>
      </c>
      <c r="I86" t="str">
        <f>HYPERLINK("https://zfin.org/ZDB-GENE-991110-22")</f>
        <v>https://zfin.org/ZDB-GENE-991110-22</v>
      </c>
      <c r="J86" t="s">
        <v>2336</v>
      </c>
    </row>
    <row r="87" spans="1:10" x14ac:dyDescent="0.2">
      <c r="A87">
        <v>1.1842557949931699E-10</v>
      </c>
      <c r="B87">
        <v>0.35356581385397201</v>
      </c>
      <c r="C87">
        <v>0.11700000000000001</v>
      </c>
      <c r="D87">
        <v>1.4999999999999999E-2</v>
      </c>
      <c r="E87">
        <v>1.8335832473879301E-6</v>
      </c>
      <c r="F87" t="s">
        <v>2334</v>
      </c>
      <c r="G87" t="s">
        <v>2335</v>
      </c>
      <c r="H87" t="s">
        <v>2334</v>
      </c>
      <c r="I87" t="str">
        <f>HYPERLINK("https://zfin.org/ZDB-GENE-040426-1909")</f>
        <v>https://zfin.org/ZDB-GENE-040426-1909</v>
      </c>
      <c r="J87" t="s">
        <v>2333</v>
      </c>
    </row>
    <row r="88" spans="1:10" x14ac:dyDescent="0.2">
      <c r="A88">
        <v>1.5753455033258099E-10</v>
      </c>
      <c r="B88">
        <v>0.25251431837946298</v>
      </c>
      <c r="C88">
        <v>0.104</v>
      </c>
      <c r="D88">
        <v>8.0000000000000002E-3</v>
      </c>
      <c r="E88">
        <v>2.4391074427993498E-6</v>
      </c>
      <c r="F88" t="s">
        <v>2331</v>
      </c>
      <c r="G88" t="s">
        <v>2332</v>
      </c>
      <c r="H88" t="s">
        <v>2331</v>
      </c>
      <c r="I88" t="str">
        <f>HYPERLINK("https://zfin.org/")</f>
        <v>https://zfin.org/</v>
      </c>
      <c r="J88" t="s">
        <v>2330</v>
      </c>
    </row>
    <row r="89" spans="1:10" x14ac:dyDescent="0.2">
      <c r="A89">
        <v>1.5854080682228899E-10</v>
      </c>
      <c r="B89">
        <v>0.47507394816910098</v>
      </c>
      <c r="C89">
        <v>0.45100000000000001</v>
      </c>
      <c r="D89">
        <v>0.26500000000000001</v>
      </c>
      <c r="E89">
        <v>2.45468731202949E-6</v>
      </c>
      <c r="F89" t="s">
        <v>1409</v>
      </c>
      <c r="G89" t="s">
        <v>1410</v>
      </c>
      <c r="H89" t="s">
        <v>1409</v>
      </c>
      <c r="I89" t="str">
        <f>HYPERLINK("https://zfin.org/ZDB-GENE-040704-31")</f>
        <v>https://zfin.org/ZDB-GENE-040704-31</v>
      </c>
      <c r="J89" t="s">
        <v>1408</v>
      </c>
    </row>
    <row r="90" spans="1:10" x14ac:dyDescent="0.2">
      <c r="A90">
        <v>2.3577395614391302E-10</v>
      </c>
      <c r="B90">
        <v>0.25567067309560898</v>
      </c>
      <c r="C90">
        <v>0.99399999999999999</v>
      </c>
      <c r="D90">
        <v>0.98099999999999998</v>
      </c>
      <c r="E90">
        <v>3.6504881629762E-6</v>
      </c>
      <c r="F90" t="s">
        <v>210</v>
      </c>
      <c r="G90" t="s">
        <v>211</v>
      </c>
      <c r="H90" t="s">
        <v>210</v>
      </c>
      <c r="I90" t="str">
        <f>HYPERLINK("https://zfin.org/ZDB-GENE-031222-4")</f>
        <v>https://zfin.org/ZDB-GENE-031222-4</v>
      </c>
      <c r="J90" t="s">
        <v>212</v>
      </c>
    </row>
    <row r="91" spans="1:10" x14ac:dyDescent="0.2">
      <c r="A91">
        <v>3.0203697942669002E-10</v>
      </c>
      <c r="B91">
        <v>0.43537325472154698</v>
      </c>
      <c r="C91">
        <v>0.22900000000000001</v>
      </c>
      <c r="D91">
        <v>8.1000000000000003E-2</v>
      </c>
      <c r="E91">
        <v>4.6764385524634396E-6</v>
      </c>
      <c r="F91" t="s">
        <v>2328</v>
      </c>
      <c r="G91" t="s">
        <v>2329</v>
      </c>
      <c r="H91" t="s">
        <v>2328</v>
      </c>
      <c r="I91" t="str">
        <f>HYPERLINK("https://zfin.org/")</f>
        <v>https://zfin.org/</v>
      </c>
    </row>
    <row r="92" spans="1:10" x14ac:dyDescent="0.2">
      <c r="A92">
        <v>3.1576106452670198E-10</v>
      </c>
      <c r="B92">
        <v>0.430201011390833</v>
      </c>
      <c r="C92">
        <v>0.28299999999999997</v>
      </c>
      <c r="D92">
        <v>0.125</v>
      </c>
      <c r="E92">
        <v>4.8889285620669198E-6</v>
      </c>
      <c r="F92" t="s">
        <v>2326</v>
      </c>
      <c r="G92" t="s">
        <v>2327</v>
      </c>
      <c r="H92" t="s">
        <v>2326</v>
      </c>
      <c r="I92" t="str">
        <f>HYPERLINK("https://zfin.org/ZDB-GENE-050522-34")</f>
        <v>https://zfin.org/ZDB-GENE-050522-34</v>
      </c>
      <c r="J92" t="s">
        <v>2325</v>
      </c>
    </row>
    <row r="93" spans="1:10" x14ac:dyDescent="0.2">
      <c r="A93">
        <v>3.6401737150646999E-10</v>
      </c>
      <c r="B93">
        <v>0.43597517757257898</v>
      </c>
      <c r="C93">
        <v>0.19500000000000001</v>
      </c>
      <c r="D93">
        <v>6.2E-2</v>
      </c>
      <c r="E93">
        <v>5.6360809630346799E-6</v>
      </c>
      <c r="F93" t="s">
        <v>2323</v>
      </c>
      <c r="G93" t="s">
        <v>2324</v>
      </c>
      <c r="H93" t="s">
        <v>2323</v>
      </c>
      <c r="I93" t="str">
        <f>HYPERLINK("https://zfin.org/ZDB-GENE-121214-31")</f>
        <v>https://zfin.org/ZDB-GENE-121214-31</v>
      </c>
      <c r="J93" t="s">
        <v>2322</v>
      </c>
    </row>
    <row r="94" spans="1:10" x14ac:dyDescent="0.2">
      <c r="A94">
        <v>4.8248556192672205E-10</v>
      </c>
      <c r="B94">
        <v>0.35541325072977398</v>
      </c>
      <c r="C94">
        <v>0.33200000000000002</v>
      </c>
      <c r="D94">
        <v>0.154</v>
      </c>
      <c r="E94">
        <v>7.4703239553114303E-6</v>
      </c>
      <c r="F94" t="s">
        <v>2320</v>
      </c>
      <c r="G94" t="s">
        <v>2321</v>
      </c>
      <c r="H94" t="s">
        <v>2320</v>
      </c>
      <c r="I94" t="str">
        <f>HYPERLINK("https://zfin.org/ZDB-GENE-030131-1042")</f>
        <v>https://zfin.org/ZDB-GENE-030131-1042</v>
      </c>
      <c r="J94" t="s">
        <v>2319</v>
      </c>
    </row>
    <row r="95" spans="1:10" x14ac:dyDescent="0.2">
      <c r="A95">
        <v>6.6935733935908701E-10</v>
      </c>
      <c r="B95">
        <v>0.347189815591877</v>
      </c>
      <c r="C95">
        <v>0.28299999999999997</v>
      </c>
      <c r="D95">
        <v>0.123</v>
      </c>
      <c r="E95">
        <v>1.03636596852967E-5</v>
      </c>
      <c r="F95" t="s">
        <v>2317</v>
      </c>
      <c r="G95" t="s">
        <v>2318</v>
      </c>
      <c r="H95" t="s">
        <v>2317</v>
      </c>
      <c r="I95" t="str">
        <f>HYPERLINK("https://zfin.org/ZDB-GENE-050417-201")</f>
        <v>https://zfin.org/ZDB-GENE-050417-201</v>
      </c>
      <c r="J95" t="s">
        <v>2316</v>
      </c>
    </row>
    <row r="96" spans="1:10" x14ac:dyDescent="0.2">
      <c r="A96">
        <v>9.5366540688329006E-10</v>
      </c>
      <c r="B96">
        <v>0.59604391037809101</v>
      </c>
      <c r="C96">
        <v>0.9</v>
      </c>
      <c r="D96">
        <v>0.86</v>
      </c>
      <c r="E96">
        <v>1.4765601494774E-5</v>
      </c>
      <c r="F96" t="s">
        <v>100</v>
      </c>
      <c r="G96" t="s">
        <v>101</v>
      </c>
      <c r="H96" t="s">
        <v>100</v>
      </c>
      <c r="I96" t="str">
        <f>HYPERLINK("https://zfin.org/ZDB-GENE-030131-12")</f>
        <v>https://zfin.org/ZDB-GENE-030131-12</v>
      </c>
      <c r="J96" t="s">
        <v>102</v>
      </c>
    </row>
    <row r="97" spans="1:10" x14ac:dyDescent="0.2">
      <c r="A97">
        <v>1.0496120952662299E-9</v>
      </c>
      <c r="B97">
        <v>0.30049969688830303</v>
      </c>
      <c r="C97">
        <v>0.105</v>
      </c>
      <c r="D97">
        <v>1.2E-2</v>
      </c>
      <c r="E97">
        <v>1.6251144071007E-5</v>
      </c>
      <c r="F97" t="s">
        <v>2314</v>
      </c>
      <c r="G97" t="s">
        <v>2315</v>
      </c>
      <c r="H97" t="s">
        <v>2314</v>
      </c>
      <c r="I97" t="str">
        <f>HYPERLINK("https://zfin.org/ZDB-GENE-040801-217")</f>
        <v>https://zfin.org/ZDB-GENE-040801-217</v>
      </c>
      <c r="J97" t="s">
        <v>2313</v>
      </c>
    </row>
    <row r="98" spans="1:10" x14ac:dyDescent="0.2">
      <c r="A98">
        <v>1.07106502333959E-9</v>
      </c>
      <c r="B98">
        <v>0.39057680085442897</v>
      </c>
      <c r="C98">
        <v>0.39300000000000002</v>
      </c>
      <c r="D98">
        <v>0.20799999999999999</v>
      </c>
      <c r="E98">
        <v>1.6583299756366901E-5</v>
      </c>
      <c r="F98" t="s">
        <v>2000</v>
      </c>
      <c r="G98" t="s">
        <v>2001</v>
      </c>
      <c r="H98" t="s">
        <v>2000</v>
      </c>
      <c r="I98" t="str">
        <f>HYPERLINK("https://zfin.org/ZDB-GENE-011109-2")</f>
        <v>https://zfin.org/ZDB-GENE-011109-2</v>
      </c>
      <c r="J98" t="s">
        <v>1999</v>
      </c>
    </row>
    <row r="99" spans="1:10" x14ac:dyDescent="0.2">
      <c r="A99">
        <v>1.17054306824831E-9</v>
      </c>
      <c r="B99">
        <v>0.282708752977129</v>
      </c>
      <c r="C99">
        <v>0.152</v>
      </c>
      <c r="D99">
        <v>3.7999999999999999E-2</v>
      </c>
      <c r="E99">
        <v>1.8123518325688501E-5</v>
      </c>
      <c r="F99" t="s">
        <v>2311</v>
      </c>
      <c r="G99" t="s">
        <v>2312</v>
      </c>
      <c r="H99" t="s">
        <v>2311</v>
      </c>
      <c r="I99" t="str">
        <f>HYPERLINK("https://zfin.org/ZDB-GENE-080430-1")</f>
        <v>https://zfin.org/ZDB-GENE-080430-1</v>
      </c>
      <c r="J99" t="s">
        <v>2310</v>
      </c>
    </row>
    <row r="100" spans="1:10" x14ac:dyDescent="0.2">
      <c r="A100">
        <v>1.17711445752847E-9</v>
      </c>
      <c r="B100">
        <v>0.31022263024979102</v>
      </c>
      <c r="C100">
        <v>0.11700000000000001</v>
      </c>
      <c r="D100">
        <v>1.9E-2</v>
      </c>
      <c r="E100">
        <v>1.8225263145913299E-5</v>
      </c>
      <c r="F100" t="s">
        <v>2308</v>
      </c>
      <c r="G100" t="s">
        <v>2309</v>
      </c>
      <c r="H100" t="s">
        <v>2308</v>
      </c>
      <c r="I100" t="str">
        <f>HYPERLINK("https://zfin.org/ZDB-GENE-081028-61")</f>
        <v>https://zfin.org/ZDB-GENE-081028-61</v>
      </c>
      <c r="J100" t="s">
        <v>2307</v>
      </c>
    </row>
    <row r="101" spans="1:10" x14ac:dyDescent="0.2">
      <c r="A101">
        <v>1.1817354080918601E-9</v>
      </c>
      <c r="B101">
        <v>0.40644610867344999</v>
      </c>
      <c r="C101">
        <v>0.154</v>
      </c>
      <c r="D101">
        <v>0.04</v>
      </c>
      <c r="E101">
        <v>1.8296809323486201E-5</v>
      </c>
      <c r="F101" t="s">
        <v>2305</v>
      </c>
      <c r="G101" t="s">
        <v>2306</v>
      </c>
      <c r="H101" t="s">
        <v>2305</v>
      </c>
      <c r="I101" t="str">
        <f>HYPERLINK("https://zfin.org/")</f>
        <v>https://zfin.org/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991A4-5BAE-B54C-AA16-3EEE3D6BD621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2.38297088873333E-74</v>
      </c>
      <c r="B2">
        <v>-1.5200301752371199</v>
      </c>
      <c r="C2">
        <v>0.76</v>
      </c>
      <c r="D2">
        <v>0.94199999999999995</v>
      </c>
      <c r="E2">
        <v>3.6895538270258199E-70</v>
      </c>
      <c r="F2" t="s">
        <v>219</v>
      </c>
      <c r="G2" t="s">
        <v>220</v>
      </c>
      <c r="H2" t="s">
        <v>219</v>
      </c>
      <c r="I2" t="str">
        <f>HYPERLINK("https://zfin.org/ZDB-GENE-121214-200")</f>
        <v>https://zfin.org/ZDB-GENE-121214-200</v>
      </c>
      <c r="J2" t="s">
        <v>221</v>
      </c>
    </row>
    <row r="3" spans="1:10" x14ac:dyDescent="0.2">
      <c r="A3">
        <v>9.0291412743476296E-58</v>
      </c>
      <c r="B3">
        <v>-1.2338271256886399</v>
      </c>
      <c r="C3">
        <v>0.36499999999999999</v>
      </c>
      <c r="D3">
        <v>0.748</v>
      </c>
      <c r="E3">
        <v>1.3979819435072399E-53</v>
      </c>
      <c r="F3" t="s">
        <v>1274</v>
      </c>
      <c r="G3" t="s">
        <v>1275</v>
      </c>
      <c r="H3" t="s">
        <v>1274</v>
      </c>
      <c r="I3" t="str">
        <f>HYPERLINK("https://zfin.org/ZDB-GENE-031016-2")</f>
        <v>https://zfin.org/ZDB-GENE-031016-2</v>
      </c>
      <c r="J3" t="s">
        <v>1273</v>
      </c>
    </row>
    <row r="4" spans="1:10" x14ac:dyDescent="0.2">
      <c r="A4">
        <v>1.51038324626972E-55</v>
      </c>
      <c r="B4">
        <v>-1.01017591430159</v>
      </c>
      <c r="C4">
        <v>0.72699999999999998</v>
      </c>
      <c r="D4">
        <v>0.91500000000000004</v>
      </c>
      <c r="E4">
        <v>2.3385263801994101E-51</v>
      </c>
      <c r="F4" t="s">
        <v>204</v>
      </c>
      <c r="G4" t="s">
        <v>205</v>
      </c>
      <c r="H4" t="s">
        <v>204</v>
      </c>
      <c r="I4" t="str">
        <f>HYPERLINK("https://zfin.org/")</f>
        <v>https://zfin.org/</v>
      </c>
      <c r="J4" t="s">
        <v>206</v>
      </c>
    </row>
    <row r="5" spans="1:10" x14ac:dyDescent="0.2">
      <c r="A5">
        <v>3.5655962203032402E-52</v>
      </c>
      <c r="B5">
        <v>-0.98695932106641904</v>
      </c>
      <c r="C5">
        <v>0.53100000000000003</v>
      </c>
      <c r="D5">
        <v>0.83299999999999996</v>
      </c>
      <c r="E5">
        <v>5.5206126278954996E-48</v>
      </c>
      <c r="F5" t="s">
        <v>174</v>
      </c>
      <c r="G5" t="s">
        <v>175</v>
      </c>
      <c r="H5" t="s">
        <v>174</v>
      </c>
      <c r="I5" t="str">
        <f>HYPERLINK("https://zfin.org/ZDB-GENE-050308-1")</f>
        <v>https://zfin.org/ZDB-GENE-050308-1</v>
      </c>
      <c r="J5" t="s">
        <v>176</v>
      </c>
    </row>
    <row r="6" spans="1:10" x14ac:dyDescent="0.2">
      <c r="A6">
        <v>2.9019665985598798E-48</v>
      </c>
      <c r="B6">
        <v>-0.67899910561170795</v>
      </c>
      <c r="C6">
        <v>0.94099999999999995</v>
      </c>
      <c r="D6">
        <v>0.97699999999999998</v>
      </c>
      <c r="E6">
        <v>4.4931148845502599E-44</v>
      </c>
      <c r="F6" t="s">
        <v>1060</v>
      </c>
      <c r="G6" t="s">
        <v>1061</v>
      </c>
      <c r="H6" t="s">
        <v>1060</v>
      </c>
      <c r="I6" t="str">
        <f>HYPERLINK("https://zfin.org/ZDB-GENE-030131-8681")</f>
        <v>https://zfin.org/ZDB-GENE-030131-8681</v>
      </c>
      <c r="J6" t="s">
        <v>1059</v>
      </c>
    </row>
    <row r="7" spans="1:10" x14ac:dyDescent="0.2">
      <c r="A7">
        <v>1.1616407946853201E-47</v>
      </c>
      <c r="B7">
        <v>-0.77968485136996502</v>
      </c>
      <c r="C7">
        <v>0.70099999999999996</v>
      </c>
      <c r="D7">
        <v>0.93300000000000005</v>
      </c>
      <c r="E7">
        <v>1.79856844241128E-43</v>
      </c>
      <c r="F7" t="s">
        <v>106</v>
      </c>
      <c r="G7" t="s">
        <v>107</v>
      </c>
      <c r="H7" t="s">
        <v>106</v>
      </c>
      <c r="I7" t="str">
        <f>HYPERLINK("https://zfin.org/ZDB-GENE-101011-2")</f>
        <v>https://zfin.org/ZDB-GENE-101011-2</v>
      </c>
      <c r="J7" t="s">
        <v>108</v>
      </c>
    </row>
    <row r="8" spans="1:10" x14ac:dyDescent="0.2">
      <c r="A8">
        <v>2.2555573492682602E-43</v>
      </c>
      <c r="B8">
        <v>-1.5774804873914801</v>
      </c>
      <c r="C8">
        <v>0.18</v>
      </c>
      <c r="D8">
        <v>0.54800000000000004</v>
      </c>
      <c r="E8">
        <v>3.4922794438720501E-39</v>
      </c>
      <c r="F8" t="s">
        <v>1397</v>
      </c>
      <c r="G8" t="s">
        <v>1398</v>
      </c>
      <c r="H8" t="s">
        <v>1397</v>
      </c>
      <c r="I8" t="str">
        <f>HYPERLINK("https://zfin.org/ZDB-GENE-110411-258")</f>
        <v>https://zfin.org/ZDB-GENE-110411-258</v>
      </c>
      <c r="J8" t="s">
        <v>1396</v>
      </c>
    </row>
    <row r="9" spans="1:10" x14ac:dyDescent="0.2">
      <c r="A9">
        <v>1.77884711042459E-36</v>
      </c>
      <c r="B9">
        <v>-0.95768111099074604</v>
      </c>
      <c r="C9">
        <v>0.13500000000000001</v>
      </c>
      <c r="D9">
        <v>0.504</v>
      </c>
      <c r="E9">
        <v>2.7541889810704E-32</v>
      </c>
      <c r="F9" t="s">
        <v>1149</v>
      </c>
      <c r="G9" t="s">
        <v>1150</v>
      </c>
      <c r="H9" t="s">
        <v>1149</v>
      </c>
      <c r="I9" t="str">
        <f>HYPERLINK("https://zfin.org/ZDB-GENE-070912-648")</f>
        <v>https://zfin.org/ZDB-GENE-070912-648</v>
      </c>
      <c r="J9" t="s">
        <v>1148</v>
      </c>
    </row>
    <row r="10" spans="1:10" x14ac:dyDescent="0.2">
      <c r="A10">
        <v>9.8756322420997007E-36</v>
      </c>
      <c r="B10">
        <v>-1.07351548111363</v>
      </c>
      <c r="C10">
        <v>0.22500000000000001</v>
      </c>
      <c r="D10">
        <v>0.56899999999999995</v>
      </c>
      <c r="E10">
        <v>1.5290441400442999E-31</v>
      </c>
      <c r="F10" t="s">
        <v>1295</v>
      </c>
      <c r="G10" t="s">
        <v>1296</v>
      </c>
      <c r="H10" t="s">
        <v>1295</v>
      </c>
      <c r="I10" t="str">
        <f>HYPERLINK("https://zfin.org/ZDB-GENE-011212-6")</f>
        <v>https://zfin.org/ZDB-GENE-011212-6</v>
      </c>
      <c r="J10" t="s">
        <v>1294</v>
      </c>
    </row>
    <row r="11" spans="1:10" x14ac:dyDescent="0.2">
      <c r="A11">
        <v>2.3463425093522399E-35</v>
      </c>
      <c r="B11">
        <v>-0.97629206009493497</v>
      </c>
      <c r="C11">
        <v>0.21299999999999999</v>
      </c>
      <c r="D11">
        <v>0.55400000000000005</v>
      </c>
      <c r="E11">
        <v>3.6328421072300798E-31</v>
      </c>
      <c r="F11" t="s">
        <v>1196</v>
      </c>
      <c r="G11" t="s">
        <v>1197</v>
      </c>
      <c r="H11" t="s">
        <v>1196</v>
      </c>
      <c r="I11" t="str">
        <f>HYPERLINK("https://zfin.org/ZDB-GENE-061103-283")</f>
        <v>https://zfin.org/ZDB-GENE-061103-283</v>
      </c>
      <c r="J11" t="s">
        <v>1195</v>
      </c>
    </row>
    <row r="12" spans="1:10" x14ac:dyDescent="0.2">
      <c r="A12">
        <v>4.3554615783911102E-32</v>
      </c>
      <c r="B12">
        <v>-0.85717745672736201</v>
      </c>
      <c r="C12">
        <v>0.25</v>
      </c>
      <c r="D12">
        <v>0.56899999999999995</v>
      </c>
      <c r="E12">
        <v>6.7435611618229499E-28</v>
      </c>
      <c r="F12" t="s">
        <v>1202</v>
      </c>
      <c r="G12" t="s">
        <v>1203</v>
      </c>
      <c r="H12" t="s">
        <v>1202</v>
      </c>
      <c r="I12" t="str">
        <f>HYPERLINK("https://zfin.org/ZDB-GENE-030911-2")</f>
        <v>https://zfin.org/ZDB-GENE-030911-2</v>
      </c>
      <c r="J12" t="s">
        <v>1201</v>
      </c>
    </row>
    <row r="13" spans="1:10" x14ac:dyDescent="0.2">
      <c r="A13">
        <v>1.7029668067005701E-31</v>
      </c>
      <c r="B13">
        <v>-0.52720240639943705</v>
      </c>
      <c r="C13">
        <v>0.92600000000000005</v>
      </c>
      <c r="D13">
        <v>0.96</v>
      </c>
      <c r="E13">
        <v>2.6367035068144901E-27</v>
      </c>
      <c r="F13" t="s">
        <v>37</v>
      </c>
      <c r="G13" t="s">
        <v>38</v>
      </c>
      <c r="H13" t="s">
        <v>37</v>
      </c>
      <c r="I13" t="str">
        <f>HYPERLINK("https://zfin.org/ZDB-GENE-110411-160")</f>
        <v>https://zfin.org/ZDB-GENE-110411-160</v>
      </c>
      <c r="J13" t="s">
        <v>39</v>
      </c>
    </row>
    <row r="14" spans="1:10" x14ac:dyDescent="0.2">
      <c r="A14">
        <v>3.74198307299914E-31</v>
      </c>
      <c r="B14">
        <v>-0.62606303903212401</v>
      </c>
      <c r="C14">
        <v>0.58199999999999996</v>
      </c>
      <c r="D14">
        <v>0.79400000000000004</v>
      </c>
      <c r="E14">
        <v>5.7937123919245703E-27</v>
      </c>
      <c r="F14" t="s">
        <v>135</v>
      </c>
      <c r="G14" t="s">
        <v>136</v>
      </c>
      <c r="H14" t="s">
        <v>135</v>
      </c>
      <c r="I14" t="str">
        <f>HYPERLINK("https://zfin.org/ZDB-GENE-071205-8")</f>
        <v>https://zfin.org/ZDB-GENE-071205-8</v>
      </c>
      <c r="J14" t="s">
        <v>137</v>
      </c>
    </row>
    <row r="15" spans="1:10" x14ac:dyDescent="0.2">
      <c r="A15">
        <v>4.1648815932700704E-31</v>
      </c>
      <c r="B15">
        <v>-0.79554902999356503</v>
      </c>
      <c r="C15">
        <v>0.60199999999999998</v>
      </c>
      <c r="D15">
        <v>0.8</v>
      </c>
      <c r="E15">
        <v>6.4484861708600601E-27</v>
      </c>
      <c r="F15" t="s">
        <v>237</v>
      </c>
      <c r="G15" t="s">
        <v>238</v>
      </c>
      <c r="H15" t="s">
        <v>237</v>
      </c>
      <c r="I15" t="str">
        <f>HYPERLINK("https://zfin.org/ZDB-GENE-040426-2931")</f>
        <v>https://zfin.org/ZDB-GENE-040426-2931</v>
      </c>
      <c r="J15" t="s">
        <v>239</v>
      </c>
    </row>
    <row r="16" spans="1:10" x14ac:dyDescent="0.2">
      <c r="A16">
        <v>7.4079282354503597E-28</v>
      </c>
      <c r="B16">
        <v>-0.84934536565386898</v>
      </c>
      <c r="C16">
        <v>8.5999999999999993E-2</v>
      </c>
      <c r="D16">
        <v>0.36499999999999999</v>
      </c>
      <c r="E16">
        <v>1.14696952869478E-23</v>
      </c>
      <c r="F16" t="s">
        <v>2584</v>
      </c>
      <c r="G16" t="s">
        <v>2585</v>
      </c>
      <c r="H16" t="s">
        <v>2584</v>
      </c>
      <c r="I16" t="str">
        <f>HYPERLINK("https://zfin.org/ZDB-GENE-040704-33")</f>
        <v>https://zfin.org/ZDB-GENE-040704-33</v>
      </c>
      <c r="J16" t="s">
        <v>2583</v>
      </c>
    </row>
    <row r="17" spans="1:10" x14ac:dyDescent="0.2">
      <c r="A17">
        <v>2.2623143541565899E-27</v>
      </c>
      <c r="B17">
        <v>-0.45006424235294201</v>
      </c>
      <c r="C17">
        <v>0.92800000000000005</v>
      </c>
      <c r="D17">
        <v>0.97099999999999997</v>
      </c>
      <c r="E17">
        <v>3.50274131454064E-23</v>
      </c>
      <c r="F17" t="s">
        <v>124</v>
      </c>
      <c r="G17" t="s">
        <v>125</v>
      </c>
      <c r="H17" t="s">
        <v>124</v>
      </c>
      <c r="I17" t="str">
        <f>HYPERLINK("https://zfin.org/ZDB-GENE-040426-2315")</f>
        <v>https://zfin.org/ZDB-GENE-040426-2315</v>
      </c>
      <c r="J17" t="s">
        <v>126</v>
      </c>
    </row>
    <row r="18" spans="1:10" x14ac:dyDescent="0.2">
      <c r="A18">
        <v>3.2221949216556E-27</v>
      </c>
      <c r="B18">
        <v>-0.94485062457934299</v>
      </c>
      <c r="C18">
        <v>0.23200000000000001</v>
      </c>
      <c r="D18">
        <v>0.52300000000000002</v>
      </c>
      <c r="E18">
        <v>4.9889243971993701E-23</v>
      </c>
      <c r="F18" t="s">
        <v>1427</v>
      </c>
      <c r="G18" t="s">
        <v>1428</v>
      </c>
      <c r="H18" t="s">
        <v>1427</v>
      </c>
      <c r="I18" t="str">
        <f>HYPERLINK("https://zfin.org/ZDB-GENE-061103-355")</f>
        <v>https://zfin.org/ZDB-GENE-061103-355</v>
      </c>
      <c r="J18" t="s">
        <v>1426</v>
      </c>
    </row>
    <row r="19" spans="1:10" x14ac:dyDescent="0.2">
      <c r="A19">
        <v>1.26388523657872E-23</v>
      </c>
      <c r="B19">
        <v>-1.05702094229036</v>
      </c>
      <c r="C19">
        <v>0.19500000000000001</v>
      </c>
      <c r="D19">
        <v>0.45800000000000002</v>
      </c>
      <c r="E19">
        <v>1.9568735117948299E-19</v>
      </c>
      <c r="F19" t="s">
        <v>1337</v>
      </c>
      <c r="G19" t="s">
        <v>1338</v>
      </c>
      <c r="H19" t="s">
        <v>1337</v>
      </c>
      <c r="I19" t="str">
        <f>HYPERLINK("https://zfin.org/ZDB-GENE-110411-139")</f>
        <v>https://zfin.org/ZDB-GENE-110411-139</v>
      </c>
      <c r="J19" t="s">
        <v>1336</v>
      </c>
    </row>
    <row r="20" spans="1:10" x14ac:dyDescent="0.2">
      <c r="A20">
        <v>3.0606532096265098E-22</v>
      </c>
      <c r="B20">
        <v>-0.80534905856946704</v>
      </c>
      <c r="C20">
        <v>0.27</v>
      </c>
      <c r="D20">
        <v>0.51700000000000002</v>
      </c>
      <c r="E20">
        <v>4.7388093644647199E-18</v>
      </c>
      <c r="F20" t="s">
        <v>1092</v>
      </c>
      <c r="G20" t="s">
        <v>1093</v>
      </c>
      <c r="H20" t="s">
        <v>1092</v>
      </c>
      <c r="I20" t="str">
        <f>HYPERLINK("https://zfin.org/ZDB-GENE-030131-261")</f>
        <v>https://zfin.org/ZDB-GENE-030131-261</v>
      </c>
      <c r="J20" t="s">
        <v>1091</v>
      </c>
    </row>
    <row r="21" spans="1:10" x14ac:dyDescent="0.2">
      <c r="A21">
        <v>4.0659479890495798E-21</v>
      </c>
      <c r="B21">
        <v>-0.61057561422675299</v>
      </c>
      <c r="C21">
        <v>0.42599999999999999</v>
      </c>
      <c r="D21">
        <v>0.66200000000000003</v>
      </c>
      <c r="E21">
        <v>6.2953072714454703E-17</v>
      </c>
      <c r="F21" t="s">
        <v>2581</v>
      </c>
      <c r="G21" t="s">
        <v>2582</v>
      </c>
      <c r="H21" t="s">
        <v>2581</v>
      </c>
      <c r="I21" t="str">
        <f>HYPERLINK("https://zfin.org/ZDB-GENE-030131-7103")</f>
        <v>https://zfin.org/ZDB-GENE-030131-7103</v>
      </c>
      <c r="J21" t="s">
        <v>2580</v>
      </c>
    </row>
    <row r="22" spans="1:10" x14ac:dyDescent="0.2">
      <c r="A22">
        <v>1.2363771603563099E-20</v>
      </c>
      <c r="B22">
        <v>-0.31865002959734001</v>
      </c>
      <c r="C22">
        <v>0.94899999999999995</v>
      </c>
      <c r="D22">
        <v>0.97899999999999998</v>
      </c>
      <c r="E22">
        <v>1.9142827573796799E-16</v>
      </c>
      <c r="F22" t="s">
        <v>1032</v>
      </c>
      <c r="G22" t="s">
        <v>1033</v>
      </c>
      <c r="H22" t="s">
        <v>1032</v>
      </c>
      <c r="I22" t="str">
        <f>HYPERLINK("https://zfin.org/ZDB-GENE-030131-8951")</f>
        <v>https://zfin.org/ZDB-GENE-030131-8951</v>
      </c>
      <c r="J22" t="s">
        <v>1031</v>
      </c>
    </row>
    <row r="23" spans="1:10" x14ac:dyDescent="0.2">
      <c r="A23">
        <v>2.7866033477455801E-20</v>
      </c>
      <c r="B23">
        <v>-0.70969415995369001</v>
      </c>
      <c r="C23">
        <v>0.30499999999999999</v>
      </c>
      <c r="D23">
        <v>0.54</v>
      </c>
      <c r="E23">
        <v>4.3144979633144898E-16</v>
      </c>
      <c r="F23" t="s">
        <v>1539</v>
      </c>
      <c r="G23" t="s">
        <v>1540</v>
      </c>
      <c r="H23" t="s">
        <v>1539</v>
      </c>
      <c r="I23" t="str">
        <f>HYPERLINK("https://zfin.org/ZDB-GENE-040912-46")</f>
        <v>https://zfin.org/ZDB-GENE-040912-46</v>
      </c>
      <c r="J23" t="s">
        <v>1538</v>
      </c>
    </row>
    <row r="24" spans="1:10" x14ac:dyDescent="0.2">
      <c r="A24">
        <v>3.0246822194096402E-20</v>
      </c>
      <c r="B24">
        <v>-0.26819070256578897</v>
      </c>
      <c r="C24">
        <v>1</v>
      </c>
      <c r="D24">
        <v>1</v>
      </c>
      <c r="E24">
        <v>4.68311548031195E-16</v>
      </c>
      <c r="F24" t="s">
        <v>830</v>
      </c>
      <c r="G24" t="s">
        <v>831</v>
      </c>
      <c r="H24" t="s">
        <v>830</v>
      </c>
      <c r="I24" t="str">
        <f>HYPERLINK("https://zfin.org/ZDB-GENE-030805-3")</f>
        <v>https://zfin.org/ZDB-GENE-030805-3</v>
      </c>
      <c r="J24" t="s">
        <v>829</v>
      </c>
    </row>
    <row r="25" spans="1:10" x14ac:dyDescent="0.2">
      <c r="A25">
        <v>3.4126168426687201E-20</v>
      </c>
      <c r="B25">
        <v>-0.59613022059169096</v>
      </c>
      <c r="C25">
        <v>4.9000000000000002E-2</v>
      </c>
      <c r="D25">
        <v>0.254</v>
      </c>
      <c r="E25">
        <v>5.2837546575039797E-16</v>
      </c>
      <c r="F25" t="s">
        <v>1226</v>
      </c>
      <c r="G25" t="s">
        <v>1227</v>
      </c>
      <c r="H25" t="s">
        <v>1226</v>
      </c>
      <c r="I25" t="str">
        <f>HYPERLINK("https://zfin.org/ZDB-GENE-070705-81")</f>
        <v>https://zfin.org/ZDB-GENE-070705-81</v>
      </c>
      <c r="J25" t="s">
        <v>1225</v>
      </c>
    </row>
    <row r="26" spans="1:10" x14ac:dyDescent="0.2">
      <c r="A26">
        <v>1.7006500725796301E-19</v>
      </c>
      <c r="B26">
        <v>-0.61981771641850703</v>
      </c>
      <c r="C26">
        <v>0.42199999999999999</v>
      </c>
      <c r="D26">
        <v>0.61899999999999999</v>
      </c>
      <c r="E26">
        <v>2.63311650737504E-15</v>
      </c>
      <c r="F26" t="s">
        <v>727</v>
      </c>
      <c r="G26" t="s">
        <v>728</v>
      </c>
      <c r="H26" t="s">
        <v>727</v>
      </c>
      <c r="I26" t="str">
        <f>HYPERLINK("https://zfin.org/ZDB-GENE-030131-8541")</f>
        <v>https://zfin.org/ZDB-GENE-030131-8541</v>
      </c>
      <c r="J26" t="s">
        <v>726</v>
      </c>
    </row>
    <row r="27" spans="1:10" x14ac:dyDescent="0.2">
      <c r="A27">
        <v>5.1164634437829804E-19</v>
      </c>
      <c r="B27">
        <v>-0.75466598782150995</v>
      </c>
      <c r="C27">
        <v>0.1</v>
      </c>
      <c r="D27">
        <v>0.312</v>
      </c>
      <c r="E27">
        <v>7.92182035000919E-15</v>
      </c>
      <c r="F27" t="s">
        <v>2578</v>
      </c>
      <c r="G27" t="s">
        <v>2579</v>
      </c>
      <c r="H27" t="s">
        <v>2578</v>
      </c>
      <c r="I27" t="str">
        <f>HYPERLINK("https://zfin.org/ZDB-GENE-080506-2")</f>
        <v>https://zfin.org/ZDB-GENE-080506-2</v>
      </c>
      <c r="J27" t="s">
        <v>2577</v>
      </c>
    </row>
    <row r="28" spans="1:10" x14ac:dyDescent="0.2">
      <c r="A28">
        <v>7.1906531505574204E-19</v>
      </c>
      <c r="B28">
        <v>-0.66201013642944595</v>
      </c>
      <c r="C28">
        <v>5.2999999999999999E-2</v>
      </c>
      <c r="D28">
        <v>0.246</v>
      </c>
      <c r="E28">
        <v>1.11332882730081E-14</v>
      </c>
      <c r="F28" t="s">
        <v>2575</v>
      </c>
      <c r="G28" t="s">
        <v>2576</v>
      </c>
      <c r="H28" t="s">
        <v>2575</v>
      </c>
      <c r="I28" t="str">
        <f>HYPERLINK("https://zfin.org/ZDB-GENE-980526-109")</f>
        <v>https://zfin.org/ZDB-GENE-980526-109</v>
      </c>
      <c r="J28" t="s">
        <v>2574</v>
      </c>
    </row>
    <row r="29" spans="1:10" x14ac:dyDescent="0.2">
      <c r="A29">
        <v>1.70479449397122E-18</v>
      </c>
      <c r="B29">
        <v>-0.63875805095354099</v>
      </c>
      <c r="C29">
        <v>6.2E-2</v>
      </c>
      <c r="D29">
        <v>0.26500000000000001</v>
      </c>
      <c r="E29">
        <v>2.6395333150156301E-14</v>
      </c>
      <c r="F29" t="s">
        <v>2572</v>
      </c>
      <c r="G29" t="s">
        <v>2573</v>
      </c>
      <c r="H29" t="s">
        <v>2572</v>
      </c>
      <c r="I29" t="str">
        <f>HYPERLINK("https://zfin.org/ZDB-GENE-081104-416")</f>
        <v>https://zfin.org/ZDB-GENE-081104-416</v>
      </c>
      <c r="J29" t="s">
        <v>2571</v>
      </c>
    </row>
    <row r="30" spans="1:10" x14ac:dyDescent="0.2">
      <c r="A30">
        <v>3.5782327694599303E-18</v>
      </c>
      <c r="B30">
        <v>-0.66895722953620596</v>
      </c>
      <c r="C30">
        <v>0.20899999999999999</v>
      </c>
      <c r="D30">
        <v>0.44400000000000001</v>
      </c>
      <c r="E30">
        <v>5.5401777969548099E-14</v>
      </c>
      <c r="F30" t="s">
        <v>1566</v>
      </c>
      <c r="G30" t="s">
        <v>1567</v>
      </c>
      <c r="H30" t="s">
        <v>1566</v>
      </c>
      <c r="I30" t="str">
        <f>HYPERLINK("https://zfin.org/ZDB-GENE-010412-1")</f>
        <v>https://zfin.org/ZDB-GENE-010412-1</v>
      </c>
      <c r="J30" t="s">
        <v>1565</v>
      </c>
    </row>
    <row r="31" spans="1:10" x14ac:dyDescent="0.2">
      <c r="A31">
        <v>7.1847637145391501E-18</v>
      </c>
      <c r="B31">
        <v>-0.74035166487513104</v>
      </c>
      <c r="C31">
        <v>6.6000000000000003E-2</v>
      </c>
      <c r="D31">
        <v>0.25800000000000001</v>
      </c>
      <c r="E31">
        <v>1.1124169659221E-13</v>
      </c>
      <c r="F31" t="s">
        <v>1211</v>
      </c>
      <c r="G31" t="s">
        <v>1212</v>
      </c>
      <c r="H31" t="s">
        <v>1211</v>
      </c>
      <c r="I31" t="str">
        <f>HYPERLINK("https://zfin.org/ZDB-GENE-131127-337")</f>
        <v>https://zfin.org/ZDB-GENE-131127-337</v>
      </c>
      <c r="J31" t="s">
        <v>1210</v>
      </c>
    </row>
    <row r="32" spans="1:10" x14ac:dyDescent="0.2">
      <c r="A32">
        <v>1.525466095178E-17</v>
      </c>
      <c r="B32">
        <v>-0.61713690606970495</v>
      </c>
      <c r="C32">
        <v>0.377</v>
      </c>
      <c r="D32">
        <v>0.58099999999999996</v>
      </c>
      <c r="E32">
        <v>2.3618791551641001E-13</v>
      </c>
      <c r="F32" t="s">
        <v>2569</v>
      </c>
      <c r="G32" t="s">
        <v>2570</v>
      </c>
      <c r="H32" t="s">
        <v>2569</v>
      </c>
      <c r="I32" t="str">
        <f>HYPERLINK("https://zfin.org/ZDB-GENE-030131-9167")</f>
        <v>https://zfin.org/ZDB-GENE-030131-9167</v>
      </c>
      <c r="J32" t="s">
        <v>2568</v>
      </c>
    </row>
    <row r="33" spans="1:10" x14ac:dyDescent="0.2">
      <c r="A33">
        <v>1.6852821982294601E-17</v>
      </c>
      <c r="B33">
        <v>-0.58249733578443497</v>
      </c>
      <c r="C33">
        <v>0.35499999999999998</v>
      </c>
      <c r="D33">
        <v>0.57899999999999996</v>
      </c>
      <c r="E33">
        <v>2.6093224275186701E-13</v>
      </c>
      <c r="F33" t="s">
        <v>2566</v>
      </c>
      <c r="G33" t="s">
        <v>2567</v>
      </c>
      <c r="H33" t="s">
        <v>2566</v>
      </c>
      <c r="I33" t="str">
        <f>HYPERLINK("https://zfin.org/ZDB-GENE-030131-9914")</f>
        <v>https://zfin.org/ZDB-GENE-030131-9914</v>
      </c>
      <c r="J33" t="s">
        <v>2565</v>
      </c>
    </row>
    <row r="34" spans="1:10" x14ac:dyDescent="0.2">
      <c r="A34">
        <v>1.03412369245573E-16</v>
      </c>
      <c r="B34">
        <v>-0.85660396936427396</v>
      </c>
      <c r="C34">
        <v>0.33200000000000002</v>
      </c>
      <c r="D34">
        <v>0.54600000000000004</v>
      </c>
      <c r="E34">
        <v>1.60113371302921E-12</v>
      </c>
      <c r="F34" t="s">
        <v>2563</v>
      </c>
      <c r="G34" t="s">
        <v>2564</v>
      </c>
      <c r="H34" t="s">
        <v>2563</v>
      </c>
      <c r="I34" t="str">
        <f>HYPERLINK("https://zfin.org/ZDB-GENE-131127-95")</f>
        <v>https://zfin.org/ZDB-GENE-131127-95</v>
      </c>
      <c r="J34" t="s">
        <v>2562</v>
      </c>
    </row>
    <row r="35" spans="1:10" x14ac:dyDescent="0.2">
      <c r="A35">
        <v>2.2755877887968702E-16</v>
      </c>
      <c r="B35">
        <v>-0.61818455962180996</v>
      </c>
      <c r="C35">
        <v>0.32</v>
      </c>
      <c r="D35">
        <v>0.52700000000000002</v>
      </c>
      <c r="E35">
        <v>3.5232925733941899E-12</v>
      </c>
      <c r="F35" t="s">
        <v>733</v>
      </c>
      <c r="G35" t="s">
        <v>734</v>
      </c>
      <c r="H35" t="s">
        <v>733</v>
      </c>
      <c r="I35" t="str">
        <f>HYPERLINK("https://zfin.org/ZDB-GENE-080723-23")</f>
        <v>https://zfin.org/ZDB-GENE-080723-23</v>
      </c>
      <c r="J35" t="s">
        <v>732</v>
      </c>
    </row>
    <row r="36" spans="1:10" x14ac:dyDescent="0.2">
      <c r="A36">
        <v>2.9296786720199901E-16</v>
      </c>
      <c r="B36">
        <v>-0.35986182183965398</v>
      </c>
      <c r="C36">
        <v>0.90200000000000002</v>
      </c>
      <c r="D36">
        <v>0.94199999999999995</v>
      </c>
      <c r="E36">
        <v>4.5360214878885503E-12</v>
      </c>
      <c r="F36" t="s">
        <v>2560</v>
      </c>
      <c r="G36" t="s">
        <v>2561</v>
      </c>
      <c r="H36" t="s">
        <v>2560</v>
      </c>
      <c r="I36" t="str">
        <f>HYPERLINK("https://zfin.org/ZDB-GENE-081205-1")</f>
        <v>https://zfin.org/ZDB-GENE-081205-1</v>
      </c>
      <c r="J36" t="s">
        <v>2559</v>
      </c>
    </row>
    <row r="37" spans="1:10" x14ac:dyDescent="0.2">
      <c r="A37">
        <v>5.6341227479984903E-16</v>
      </c>
      <c r="B37">
        <v>-0.64863189099608898</v>
      </c>
      <c r="C37">
        <v>0.72499999999999998</v>
      </c>
      <c r="D37">
        <v>0.81499999999999995</v>
      </c>
      <c r="E37">
        <v>8.7233122507260602E-12</v>
      </c>
      <c r="F37" t="s">
        <v>103</v>
      </c>
      <c r="G37" t="s">
        <v>104</v>
      </c>
      <c r="H37" t="s">
        <v>103</v>
      </c>
      <c r="I37" t="str">
        <f>HYPERLINK("https://zfin.org/ZDB-GENE-041121-18")</f>
        <v>https://zfin.org/ZDB-GENE-041121-18</v>
      </c>
      <c r="J37" t="s">
        <v>105</v>
      </c>
    </row>
    <row r="38" spans="1:10" x14ac:dyDescent="0.2">
      <c r="A38">
        <v>6.1917710400358098E-16</v>
      </c>
      <c r="B38">
        <v>-0.56498189105055696</v>
      </c>
      <c r="C38">
        <v>0.379</v>
      </c>
      <c r="D38">
        <v>0.57699999999999996</v>
      </c>
      <c r="E38">
        <v>9.5867191012874392E-12</v>
      </c>
      <c r="F38" t="s">
        <v>2557</v>
      </c>
      <c r="G38" t="s">
        <v>2558</v>
      </c>
      <c r="H38" t="s">
        <v>2557</v>
      </c>
      <c r="I38" t="str">
        <f>HYPERLINK("https://zfin.org/ZDB-GENE-030131-8308")</f>
        <v>https://zfin.org/ZDB-GENE-030131-8308</v>
      </c>
      <c r="J38" t="s">
        <v>2556</v>
      </c>
    </row>
    <row r="39" spans="1:10" x14ac:dyDescent="0.2">
      <c r="A39">
        <v>3.7709574381394397E-15</v>
      </c>
      <c r="B39">
        <v>-0.51083763180810804</v>
      </c>
      <c r="C39">
        <v>0.105</v>
      </c>
      <c r="D39">
        <v>0.29599999999999999</v>
      </c>
      <c r="E39">
        <v>5.8385734014712995E-11</v>
      </c>
      <c r="F39" t="s">
        <v>2554</v>
      </c>
      <c r="G39" t="s">
        <v>2555</v>
      </c>
      <c r="H39" t="s">
        <v>2554</v>
      </c>
      <c r="I39" t="str">
        <f>HYPERLINK("https://zfin.org/ZDB-GENE-040420-1")</f>
        <v>https://zfin.org/ZDB-GENE-040420-1</v>
      </c>
      <c r="J39" t="s">
        <v>2553</v>
      </c>
    </row>
    <row r="40" spans="1:10" x14ac:dyDescent="0.2">
      <c r="A40">
        <v>2.1495441185558901E-14</v>
      </c>
      <c r="B40">
        <v>-0.326038206179323</v>
      </c>
      <c r="C40">
        <v>0.89300000000000002</v>
      </c>
      <c r="D40">
        <v>0.95399999999999996</v>
      </c>
      <c r="E40">
        <v>3.3281391587600798E-10</v>
      </c>
      <c r="F40" t="s">
        <v>198</v>
      </c>
      <c r="G40" t="s">
        <v>199</v>
      </c>
      <c r="H40" t="s">
        <v>198</v>
      </c>
      <c r="I40" t="str">
        <f>HYPERLINK("https://zfin.org/ZDB-GENE-990712-18")</f>
        <v>https://zfin.org/ZDB-GENE-990712-18</v>
      </c>
      <c r="J40" t="s">
        <v>200</v>
      </c>
    </row>
    <row r="41" spans="1:10" x14ac:dyDescent="0.2">
      <c r="A41">
        <v>2.3420508489010299E-14</v>
      </c>
      <c r="B41">
        <v>-0.63906885585487605</v>
      </c>
      <c r="C41">
        <v>3.1E-2</v>
      </c>
      <c r="D41">
        <v>0.17499999999999999</v>
      </c>
      <c r="E41">
        <v>3.6261973293534602E-10</v>
      </c>
      <c r="F41" t="s">
        <v>1298</v>
      </c>
      <c r="G41" t="s">
        <v>1299</v>
      </c>
      <c r="H41" t="s">
        <v>1298</v>
      </c>
      <c r="I41" t="str">
        <f>HYPERLINK("https://zfin.org/ZDB-GENE-070502-5")</f>
        <v>https://zfin.org/ZDB-GENE-070502-5</v>
      </c>
      <c r="J41" t="s">
        <v>1297</v>
      </c>
    </row>
    <row r="42" spans="1:10" x14ac:dyDescent="0.2">
      <c r="A42">
        <v>2.7556319514858499E-14</v>
      </c>
      <c r="B42">
        <v>-1.08117001574298</v>
      </c>
      <c r="C42">
        <v>0.70499999999999996</v>
      </c>
      <c r="D42">
        <v>0.79200000000000004</v>
      </c>
      <c r="E42">
        <v>4.2665449504855399E-10</v>
      </c>
      <c r="F42" t="s">
        <v>906</v>
      </c>
      <c r="G42" t="s">
        <v>907</v>
      </c>
      <c r="H42" t="s">
        <v>906</v>
      </c>
      <c r="I42" t="str">
        <f>HYPERLINK("https://zfin.org/ZDB-GENE-051030-81")</f>
        <v>https://zfin.org/ZDB-GENE-051030-81</v>
      </c>
      <c r="J42" t="s">
        <v>905</v>
      </c>
    </row>
    <row r="43" spans="1:10" x14ac:dyDescent="0.2">
      <c r="A43">
        <v>9.3950252223609501E-14</v>
      </c>
      <c r="B43">
        <v>-0.60091072747449004</v>
      </c>
      <c r="C43">
        <v>0.22700000000000001</v>
      </c>
      <c r="D43">
        <v>0.41899999999999998</v>
      </c>
      <c r="E43">
        <v>1.4546317551781499E-9</v>
      </c>
      <c r="F43" t="s">
        <v>2551</v>
      </c>
      <c r="G43" t="s">
        <v>2552</v>
      </c>
      <c r="H43" t="s">
        <v>2551</v>
      </c>
      <c r="I43" t="str">
        <f>HYPERLINK("https://zfin.org/ZDB-GENE-040912-24")</f>
        <v>https://zfin.org/ZDB-GENE-040912-24</v>
      </c>
      <c r="J43" t="s">
        <v>2550</v>
      </c>
    </row>
    <row r="44" spans="1:10" x14ac:dyDescent="0.2">
      <c r="A44">
        <v>9.6883996534648598E-14</v>
      </c>
      <c r="B44">
        <v>-0.469063211796025</v>
      </c>
      <c r="C44">
        <v>0.52300000000000002</v>
      </c>
      <c r="D44">
        <v>0.7</v>
      </c>
      <c r="E44">
        <v>1.5000549183459599E-9</v>
      </c>
      <c r="F44" t="s">
        <v>246</v>
      </c>
      <c r="G44" t="s">
        <v>247</v>
      </c>
      <c r="H44" t="s">
        <v>246</v>
      </c>
      <c r="I44" t="str">
        <f>HYPERLINK("https://zfin.org/ZDB-GENE-040426-2720")</f>
        <v>https://zfin.org/ZDB-GENE-040426-2720</v>
      </c>
      <c r="J44" t="s">
        <v>248</v>
      </c>
    </row>
    <row r="45" spans="1:10" x14ac:dyDescent="0.2">
      <c r="A45">
        <v>1.09953752803233E-13</v>
      </c>
      <c r="B45">
        <v>-0.37613788968561701</v>
      </c>
      <c r="C45">
        <v>0.73799999999999999</v>
      </c>
      <c r="D45">
        <v>0.86199999999999999</v>
      </c>
      <c r="E45">
        <v>1.70241395465245E-9</v>
      </c>
      <c r="F45" t="s">
        <v>2548</v>
      </c>
      <c r="G45" t="s">
        <v>2549</v>
      </c>
      <c r="H45" t="s">
        <v>2548</v>
      </c>
      <c r="I45" t="str">
        <f>HYPERLINK("https://zfin.org/ZDB-GENE-030131-341")</f>
        <v>https://zfin.org/ZDB-GENE-030131-341</v>
      </c>
      <c r="J45" t="s">
        <v>2547</v>
      </c>
    </row>
    <row r="46" spans="1:10" x14ac:dyDescent="0.2">
      <c r="A46">
        <v>3.8791293721564802E-13</v>
      </c>
      <c r="B46">
        <v>-0.44895134539963499</v>
      </c>
      <c r="C46">
        <v>0.01</v>
      </c>
      <c r="D46">
        <v>0.123</v>
      </c>
      <c r="E46">
        <v>6.0060560069098696E-9</v>
      </c>
      <c r="F46" t="s">
        <v>2545</v>
      </c>
      <c r="G46" t="s">
        <v>2546</v>
      </c>
      <c r="H46" t="s">
        <v>2545</v>
      </c>
      <c r="I46" t="str">
        <f>HYPERLINK("https://zfin.org/ZDB-GENE-070824-4")</f>
        <v>https://zfin.org/ZDB-GENE-070824-4</v>
      </c>
      <c r="J46" t="s">
        <v>2544</v>
      </c>
    </row>
    <row r="47" spans="1:10" x14ac:dyDescent="0.2">
      <c r="A47">
        <v>3.9890236045830802E-13</v>
      </c>
      <c r="B47">
        <v>-0.25594380512763798</v>
      </c>
      <c r="C47">
        <v>0.94499999999999995</v>
      </c>
      <c r="D47">
        <v>0.95599999999999996</v>
      </c>
      <c r="E47">
        <v>6.1762052469759901E-9</v>
      </c>
      <c r="F47" t="s">
        <v>240</v>
      </c>
      <c r="G47" t="s">
        <v>241</v>
      </c>
      <c r="H47" t="s">
        <v>240</v>
      </c>
      <c r="I47" t="str">
        <f>HYPERLINK("https://zfin.org/ZDB-GENE-040718-190")</f>
        <v>https://zfin.org/ZDB-GENE-040718-190</v>
      </c>
      <c r="J47" t="s">
        <v>242</v>
      </c>
    </row>
    <row r="48" spans="1:10" x14ac:dyDescent="0.2">
      <c r="A48">
        <v>1.3119931851777601E-12</v>
      </c>
      <c r="B48">
        <v>-0.52792230813538199</v>
      </c>
      <c r="C48">
        <v>0.1</v>
      </c>
      <c r="D48">
        <v>0.26900000000000002</v>
      </c>
      <c r="E48">
        <v>2.03135904861072E-8</v>
      </c>
      <c r="F48" t="s">
        <v>2542</v>
      </c>
      <c r="G48" t="s">
        <v>2543</v>
      </c>
      <c r="H48" t="s">
        <v>2542</v>
      </c>
      <c r="I48" t="str">
        <f>HYPERLINK("https://zfin.org/ZDB-GENE-030131-7146")</f>
        <v>https://zfin.org/ZDB-GENE-030131-7146</v>
      </c>
      <c r="J48" t="s">
        <v>2541</v>
      </c>
    </row>
    <row r="49" spans="1:10" x14ac:dyDescent="0.2">
      <c r="A49">
        <v>2.7880219988607599E-12</v>
      </c>
      <c r="B49">
        <v>-0.387822502217887</v>
      </c>
      <c r="C49">
        <v>0.68899999999999995</v>
      </c>
      <c r="D49">
        <v>0.77700000000000002</v>
      </c>
      <c r="E49">
        <v>4.3166944608361199E-8</v>
      </c>
      <c r="F49" t="s">
        <v>141</v>
      </c>
      <c r="G49" t="s">
        <v>142</v>
      </c>
      <c r="H49" t="s">
        <v>141</v>
      </c>
      <c r="I49" t="str">
        <f>HYPERLINK("https://zfin.org/ZDB-GENE-040426-2770")</f>
        <v>https://zfin.org/ZDB-GENE-040426-2770</v>
      </c>
      <c r="J49" t="s">
        <v>143</v>
      </c>
    </row>
    <row r="50" spans="1:10" x14ac:dyDescent="0.2">
      <c r="A50">
        <v>4.05511798427923E-12</v>
      </c>
      <c r="B50">
        <v>-0.57930302383536603</v>
      </c>
      <c r="C50">
        <v>0.309</v>
      </c>
      <c r="D50">
        <v>0.48499999999999999</v>
      </c>
      <c r="E50">
        <v>6.2785391750595406E-8</v>
      </c>
      <c r="F50" t="s">
        <v>1178</v>
      </c>
      <c r="G50" t="s">
        <v>1179</v>
      </c>
      <c r="H50" t="s">
        <v>1178</v>
      </c>
      <c r="I50" t="str">
        <f>HYPERLINK("https://zfin.org/ZDB-GENE-040426-1877")</f>
        <v>https://zfin.org/ZDB-GENE-040426-1877</v>
      </c>
      <c r="J50" t="s">
        <v>1177</v>
      </c>
    </row>
    <row r="51" spans="1:10" x14ac:dyDescent="0.2">
      <c r="A51">
        <v>5.7245821213674099E-12</v>
      </c>
      <c r="B51">
        <v>-0.44586817706431198</v>
      </c>
      <c r="C51">
        <v>2.5000000000000001E-2</v>
      </c>
      <c r="D51">
        <v>0.14599999999999999</v>
      </c>
      <c r="E51">
        <v>8.8633704985131594E-8</v>
      </c>
      <c r="F51" t="s">
        <v>2539</v>
      </c>
      <c r="G51" t="s">
        <v>2540</v>
      </c>
      <c r="H51" t="s">
        <v>2539</v>
      </c>
      <c r="I51" t="str">
        <f>HYPERLINK("https://zfin.org/ZDB-GENE-070912-286")</f>
        <v>https://zfin.org/ZDB-GENE-070912-286</v>
      </c>
      <c r="J51" t="s">
        <v>2538</v>
      </c>
    </row>
    <row r="52" spans="1:10" x14ac:dyDescent="0.2">
      <c r="A52">
        <v>1.1778186563789899E-11</v>
      </c>
      <c r="B52">
        <v>-0.40766089513061798</v>
      </c>
      <c r="C52">
        <v>2.5000000000000001E-2</v>
      </c>
      <c r="D52">
        <v>0.14199999999999999</v>
      </c>
      <c r="E52">
        <v>1.8236166256715801E-7</v>
      </c>
      <c r="F52" t="s">
        <v>2536</v>
      </c>
      <c r="G52" t="s">
        <v>2537</v>
      </c>
      <c r="H52" t="s">
        <v>2536</v>
      </c>
      <c r="I52" t="str">
        <f>HYPERLINK("https://zfin.org/ZDB-GENE-040426-1301")</f>
        <v>https://zfin.org/ZDB-GENE-040426-1301</v>
      </c>
      <c r="J52" t="s">
        <v>2535</v>
      </c>
    </row>
    <row r="53" spans="1:10" x14ac:dyDescent="0.2">
      <c r="A53">
        <v>1.29950076896469E-11</v>
      </c>
      <c r="B53">
        <v>-0.256116334590966</v>
      </c>
      <c r="C53">
        <v>0.93600000000000005</v>
      </c>
      <c r="D53">
        <v>0.94599999999999995</v>
      </c>
      <c r="E53">
        <v>2.01201704058802E-7</v>
      </c>
      <c r="F53" t="s">
        <v>1002</v>
      </c>
      <c r="G53" t="s">
        <v>1003</v>
      </c>
      <c r="H53" t="s">
        <v>1002</v>
      </c>
      <c r="I53" t="str">
        <f>HYPERLINK("https://zfin.org/ZDB-GENE-030131-8654")</f>
        <v>https://zfin.org/ZDB-GENE-030131-8654</v>
      </c>
      <c r="J53" t="s">
        <v>1001</v>
      </c>
    </row>
    <row r="54" spans="1:10" x14ac:dyDescent="0.2">
      <c r="A54">
        <v>1.3441784122349499E-11</v>
      </c>
      <c r="B54">
        <v>-0.28449969301911798</v>
      </c>
      <c r="C54">
        <v>0.871</v>
      </c>
      <c r="D54">
        <v>0.91500000000000004</v>
      </c>
      <c r="E54">
        <v>2.0811914356633801E-7</v>
      </c>
      <c r="F54" t="s">
        <v>975</v>
      </c>
      <c r="G54" t="s">
        <v>976</v>
      </c>
      <c r="H54" t="s">
        <v>975</v>
      </c>
      <c r="I54" t="str">
        <f>HYPERLINK("https://zfin.org/ZDB-GENE-040426-1700")</f>
        <v>https://zfin.org/ZDB-GENE-040426-1700</v>
      </c>
      <c r="J54" t="s">
        <v>974</v>
      </c>
    </row>
    <row r="55" spans="1:10" x14ac:dyDescent="0.2">
      <c r="A55">
        <v>1.37601308885146E-11</v>
      </c>
      <c r="B55">
        <v>-0.38252056209358398</v>
      </c>
      <c r="C55">
        <v>0.66200000000000003</v>
      </c>
      <c r="D55">
        <v>0.78100000000000003</v>
      </c>
      <c r="E55">
        <v>2.13048106546872E-7</v>
      </c>
      <c r="F55" t="s">
        <v>195</v>
      </c>
      <c r="G55" t="s">
        <v>196</v>
      </c>
      <c r="H55" t="s">
        <v>195</v>
      </c>
      <c r="I55" t="str">
        <f>HYPERLINK("https://zfin.org/ZDB-GENE-030131-5493")</f>
        <v>https://zfin.org/ZDB-GENE-030131-5493</v>
      </c>
      <c r="J55" t="s">
        <v>197</v>
      </c>
    </row>
    <row r="56" spans="1:10" x14ac:dyDescent="0.2">
      <c r="A56">
        <v>1.50638523651787E-11</v>
      </c>
      <c r="B56">
        <v>-0.387568794083618</v>
      </c>
      <c r="C56">
        <v>3.3000000000000002E-2</v>
      </c>
      <c r="D56">
        <v>0.158</v>
      </c>
      <c r="E56">
        <v>2.33233626170061E-7</v>
      </c>
      <c r="F56" t="s">
        <v>2533</v>
      </c>
      <c r="G56" t="s">
        <v>2534</v>
      </c>
      <c r="H56" t="s">
        <v>2533</v>
      </c>
      <c r="I56" t="str">
        <f>HYPERLINK("https://zfin.org/ZDB-GENE-080229-6")</f>
        <v>https://zfin.org/ZDB-GENE-080229-6</v>
      </c>
      <c r="J56" t="s">
        <v>2532</v>
      </c>
    </row>
    <row r="57" spans="1:10" x14ac:dyDescent="0.2">
      <c r="A57">
        <v>1.8336879666542299E-11</v>
      </c>
      <c r="B57">
        <v>-0.301192549131509</v>
      </c>
      <c r="C57">
        <v>0.77500000000000002</v>
      </c>
      <c r="D57">
        <v>0.86</v>
      </c>
      <c r="E57">
        <v>2.8390990787707402E-7</v>
      </c>
      <c r="F57" t="s">
        <v>2530</v>
      </c>
      <c r="G57" t="s">
        <v>2531</v>
      </c>
      <c r="H57" t="s">
        <v>2530</v>
      </c>
      <c r="I57" t="str">
        <f>HYPERLINK("https://zfin.org/ZDB-GENE-030131-5590")</f>
        <v>https://zfin.org/ZDB-GENE-030131-5590</v>
      </c>
      <c r="J57" t="s">
        <v>2529</v>
      </c>
    </row>
    <row r="58" spans="1:10" x14ac:dyDescent="0.2">
      <c r="A58">
        <v>2.0491243728916999E-11</v>
      </c>
      <c r="B58">
        <v>-0.48577169289301603</v>
      </c>
      <c r="C58">
        <v>0.38700000000000001</v>
      </c>
      <c r="D58">
        <v>0.55000000000000004</v>
      </c>
      <c r="E58">
        <v>3.1726592665482198E-7</v>
      </c>
      <c r="F58" t="s">
        <v>2527</v>
      </c>
      <c r="G58" t="s">
        <v>2528</v>
      </c>
      <c r="H58" t="s">
        <v>2527</v>
      </c>
      <c r="I58" t="str">
        <f>HYPERLINK("https://zfin.org/ZDB-GENE-071005-2")</f>
        <v>https://zfin.org/ZDB-GENE-071005-2</v>
      </c>
      <c r="J58" t="s">
        <v>2526</v>
      </c>
    </row>
    <row r="59" spans="1:10" x14ac:dyDescent="0.2">
      <c r="A59">
        <v>3.3227716561836702E-11</v>
      </c>
      <c r="B59">
        <v>-0.47650441950505701</v>
      </c>
      <c r="C59">
        <v>0.08</v>
      </c>
      <c r="D59">
        <v>0.22500000000000001</v>
      </c>
      <c r="E59">
        <v>5.1446473552691801E-7</v>
      </c>
      <c r="F59" t="s">
        <v>2303</v>
      </c>
      <c r="G59" t="s">
        <v>2304</v>
      </c>
      <c r="H59" t="s">
        <v>2303</v>
      </c>
      <c r="I59" t="str">
        <f>HYPERLINK("https://zfin.org/ZDB-GENE-031006-14")</f>
        <v>https://zfin.org/ZDB-GENE-031006-14</v>
      </c>
      <c r="J59" t="s">
        <v>2302</v>
      </c>
    </row>
    <row r="60" spans="1:10" x14ac:dyDescent="0.2">
      <c r="A60">
        <v>5.07273493851023E-11</v>
      </c>
      <c r="B60">
        <v>-0.297900745056982</v>
      </c>
      <c r="C60">
        <v>0.84399999999999997</v>
      </c>
      <c r="D60">
        <v>0.93799999999999994</v>
      </c>
      <c r="E60">
        <v>7.8541155052953895E-7</v>
      </c>
      <c r="F60" t="s">
        <v>171</v>
      </c>
      <c r="G60" t="s">
        <v>172</v>
      </c>
      <c r="H60" t="s">
        <v>171</v>
      </c>
      <c r="I60" t="str">
        <f>HYPERLINK("https://zfin.org/ZDB-GENE-010328-8")</f>
        <v>https://zfin.org/ZDB-GENE-010328-8</v>
      </c>
      <c r="J60" t="s">
        <v>173</v>
      </c>
    </row>
    <row r="61" spans="1:10" x14ac:dyDescent="0.2">
      <c r="A61">
        <v>2.0438649293823201E-10</v>
      </c>
      <c r="B61">
        <v>-0.45293464429346603</v>
      </c>
      <c r="C61">
        <v>2.1000000000000001E-2</v>
      </c>
      <c r="D61">
        <v>0.125</v>
      </c>
      <c r="E61">
        <v>3.1645160701626498E-6</v>
      </c>
      <c r="F61" t="s">
        <v>2524</v>
      </c>
      <c r="G61" t="s">
        <v>2525</v>
      </c>
      <c r="H61" t="s">
        <v>2524</v>
      </c>
      <c r="I61" t="str">
        <f>HYPERLINK("https://zfin.org/ZDB-GENE-020419-24")</f>
        <v>https://zfin.org/ZDB-GENE-020419-24</v>
      </c>
      <c r="J61" t="s">
        <v>2523</v>
      </c>
    </row>
    <row r="62" spans="1:10" x14ac:dyDescent="0.2">
      <c r="A62">
        <v>2.1494130091890601E-10</v>
      </c>
      <c r="B62">
        <v>-0.49719704782834501</v>
      </c>
      <c r="C62">
        <v>0.30499999999999999</v>
      </c>
      <c r="D62">
        <v>0.45800000000000002</v>
      </c>
      <c r="E62">
        <v>3.3279361621274298E-6</v>
      </c>
      <c r="F62" t="s">
        <v>2521</v>
      </c>
      <c r="G62" t="s">
        <v>2522</v>
      </c>
      <c r="H62" t="s">
        <v>2521</v>
      </c>
      <c r="I62" t="str">
        <f>HYPERLINK("https://zfin.org/ZDB-GENE-040912-148")</f>
        <v>https://zfin.org/ZDB-GENE-040912-148</v>
      </c>
      <c r="J62" t="s">
        <v>2520</v>
      </c>
    </row>
    <row r="63" spans="1:10" x14ac:dyDescent="0.2">
      <c r="A63">
        <v>2.4756450543689501E-10</v>
      </c>
      <c r="B63">
        <v>-0.39241854850346403</v>
      </c>
      <c r="C63">
        <v>0.68</v>
      </c>
      <c r="D63">
        <v>0.8</v>
      </c>
      <c r="E63">
        <v>3.8330412376794398E-6</v>
      </c>
      <c r="F63" t="s">
        <v>279</v>
      </c>
      <c r="G63" t="s">
        <v>280</v>
      </c>
      <c r="H63" t="s">
        <v>279</v>
      </c>
      <c r="I63" t="str">
        <f>HYPERLINK("https://zfin.org/ZDB-GENE-030131-8575")</f>
        <v>https://zfin.org/ZDB-GENE-030131-8575</v>
      </c>
      <c r="J63" t="s">
        <v>281</v>
      </c>
    </row>
    <row r="64" spans="1:10" x14ac:dyDescent="0.2">
      <c r="A64">
        <v>2.4918017413040799E-10</v>
      </c>
      <c r="B64">
        <v>-0.42575018474507598</v>
      </c>
      <c r="C64">
        <v>0.42799999999999999</v>
      </c>
      <c r="D64">
        <v>0.58299999999999996</v>
      </c>
      <c r="E64">
        <v>3.8580566360611001E-6</v>
      </c>
      <c r="F64" t="s">
        <v>2518</v>
      </c>
      <c r="G64" t="s">
        <v>2519</v>
      </c>
      <c r="H64" t="s">
        <v>2518</v>
      </c>
      <c r="I64" t="str">
        <f>HYPERLINK("https://zfin.org/ZDB-GENE-050419-45")</f>
        <v>https://zfin.org/ZDB-GENE-050419-45</v>
      </c>
      <c r="J64" t="s">
        <v>2517</v>
      </c>
    </row>
    <row r="65" spans="1:10" x14ac:dyDescent="0.2">
      <c r="A65">
        <v>3.2906533002302701E-10</v>
      </c>
      <c r="B65">
        <v>-0.53335481096137805</v>
      </c>
      <c r="C65">
        <v>0.24199999999999999</v>
      </c>
      <c r="D65">
        <v>0.40799999999999997</v>
      </c>
      <c r="E65">
        <v>5.0949185047465201E-6</v>
      </c>
      <c r="F65" t="s">
        <v>2515</v>
      </c>
      <c r="G65" t="s">
        <v>2516</v>
      </c>
      <c r="H65" t="s">
        <v>2515</v>
      </c>
      <c r="I65" t="str">
        <f>HYPERLINK("https://zfin.org/ZDB-GENE-030521-10")</f>
        <v>https://zfin.org/ZDB-GENE-030521-10</v>
      </c>
      <c r="J65" t="s">
        <v>2514</v>
      </c>
    </row>
    <row r="66" spans="1:10" x14ac:dyDescent="0.2">
      <c r="A66">
        <v>3.4729271540863699E-10</v>
      </c>
      <c r="B66">
        <v>-0.324401086760506</v>
      </c>
      <c r="C66">
        <v>4.4999999999999998E-2</v>
      </c>
      <c r="D66">
        <v>0.16700000000000001</v>
      </c>
      <c r="E66">
        <v>5.3771331126719296E-6</v>
      </c>
      <c r="F66" t="s">
        <v>2512</v>
      </c>
      <c r="G66" t="s">
        <v>2513</v>
      </c>
      <c r="H66" t="s">
        <v>2512</v>
      </c>
      <c r="I66" t="str">
        <f>HYPERLINK("https://zfin.org/ZDB-GENE-030131-2426")</f>
        <v>https://zfin.org/ZDB-GENE-030131-2426</v>
      </c>
      <c r="J66" t="s">
        <v>2511</v>
      </c>
    </row>
    <row r="67" spans="1:10" x14ac:dyDescent="0.2">
      <c r="A67">
        <v>5.3306901160444598E-10</v>
      </c>
      <c r="B67">
        <v>-0.25034406184410102</v>
      </c>
      <c r="C67">
        <v>0.93</v>
      </c>
      <c r="D67">
        <v>0.94599999999999995</v>
      </c>
      <c r="E67">
        <v>8.2535075066716401E-6</v>
      </c>
      <c r="F67" t="s">
        <v>276</v>
      </c>
      <c r="G67" t="s">
        <v>277</v>
      </c>
      <c r="H67" t="s">
        <v>276</v>
      </c>
      <c r="I67" t="str">
        <f>HYPERLINK("https://zfin.org/ZDB-GENE-020419-2")</f>
        <v>https://zfin.org/ZDB-GENE-020419-2</v>
      </c>
      <c r="J67" t="s">
        <v>278</v>
      </c>
    </row>
    <row r="68" spans="1:10" x14ac:dyDescent="0.2">
      <c r="A68">
        <v>5.5608889369291001E-10</v>
      </c>
      <c r="B68">
        <v>-0.37524292423328098</v>
      </c>
      <c r="C68">
        <v>4.9000000000000002E-2</v>
      </c>
      <c r="D68">
        <v>0.17100000000000001</v>
      </c>
      <c r="E68">
        <v>8.6099243410473208E-6</v>
      </c>
      <c r="F68" t="s">
        <v>2509</v>
      </c>
      <c r="G68" t="s">
        <v>2510</v>
      </c>
      <c r="H68" t="s">
        <v>2509</v>
      </c>
      <c r="I68" t="str">
        <f>HYPERLINK("https://zfin.org/ZDB-GENE-060510-4")</f>
        <v>https://zfin.org/ZDB-GENE-060510-4</v>
      </c>
      <c r="J68" t="s">
        <v>2508</v>
      </c>
    </row>
    <row r="69" spans="1:10" x14ac:dyDescent="0.2">
      <c r="A69">
        <v>5.8031092195527702E-10</v>
      </c>
      <c r="B69">
        <v>-0.48575266407758</v>
      </c>
      <c r="C69">
        <v>4.9000000000000002E-2</v>
      </c>
      <c r="D69">
        <v>0.16700000000000001</v>
      </c>
      <c r="E69">
        <v>8.9849540046335501E-6</v>
      </c>
      <c r="F69" t="s">
        <v>2506</v>
      </c>
      <c r="G69" t="s">
        <v>2507</v>
      </c>
      <c r="H69" t="s">
        <v>2506</v>
      </c>
      <c r="I69" t="str">
        <f>HYPERLINK("https://zfin.org/ZDB-GENE-040426-1878")</f>
        <v>https://zfin.org/ZDB-GENE-040426-1878</v>
      </c>
      <c r="J69" t="s">
        <v>2505</v>
      </c>
    </row>
    <row r="70" spans="1:10" x14ac:dyDescent="0.2">
      <c r="A70">
        <v>6.9609747801314996E-10</v>
      </c>
      <c r="B70">
        <v>-0.27545213079244801</v>
      </c>
      <c r="C70">
        <v>1.4E-2</v>
      </c>
      <c r="D70">
        <v>0.104</v>
      </c>
      <c r="E70">
        <v>1.07776772520776E-5</v>
      </c>
      <c r="F70" t="s">
        <v>2503</v>
      </c>
      <c r="G70" t="s">
        <v>2504</v>
      </c>
      <c r="H70" t="s">
        <v>2503</v>
      </c>
      <c r="I70" t="str">
        <f>HYPERLINK("https://zfin.org/ZDB-GENE-060526-117")</f>
        <v>https://zfin.org/ZDB-GENE-060526-117</v>
      </c>
      <c r="J70" t="s">
        <v>2502</v>
      </c>
    </row>
    <row r="71" spans="1:10" x14ac:dyDescent="0.2">
      <c r="A71">
        <v>9.2364004390672895E-10</v>
      </c>
      <c r="B71">
        <v>-0.65981495001072099</v>
      </c>
      <c r="C71">
        <v>0.35399999999999998</v>
      </c>
      <c r="D71">
        <v>0.47699999999999998</v>
      </c>
      <c r="E71">
        <v>1.43007187998079E-5</v>
      </c>
      <c r="F71" t="s">
        <v>1906</v>
      </c>
      <c r="G71" t="s">
        <v>1907</v>
      </c>
      <c r="H71" t="s">
        <v>1906</v>
      </c>
      <c r="I71" t="str">
        <f>HYPERLINK("https://zfin.org/ZDB-GENE-980526-416")</f>
        <v>https://zfin.org/ZDB-GENE-980526-416</v>
      </c>
      <c r="J71" t="s">
        <v>1905</v>
      </c>
    </row>
    <row r="72" spans="1:10" x14ac:dyDescent="0.2">
      <c r="A72">
        <v>9.7056279816820302E-10</v>
      </c>
      <c r="B72">
        <v>-0.47637454561095</v>
      </c>
      <c r="C72">
        <v>0.29099999999999998</v>
      </c>
      <c r="D72">
        <v>0.44600000000000001</v>
      </c>
      <c r="E72">
        <v>1.5027223804038301E-5</v>
      </c>
      <c r="F72" t="s">
        <v>2500</v>
      </c>
      <c r="G72" t="s">
        <v>2501</v>
      </c>
      <c r="H72" t="s">
        <v>2500</v>
      </c>
      <c r="I72" t="str">
        <f>HYPERLINK("https://zfin.org/ZDB-GENE-070112-1732")</f>
        <v>https://zfin.org/ZDB-GENE-070112-1732</v>
      </c>
      <c r="J72" t="s">
        <v>2499</v>
      </c>
    </row>
    <row r="73" spans="1:10" x14ac:dyDescent="0.2">
      <c r="A73">
        <v>1.00682304705231E-9</v>
      </c>
      <c r="B73">
        <v>-0.51330364959605301</v>
      </c>
      <c r="C73">
        <v>0.30299999999999999</v>
      </c>
      <c r="D73">
        <v>0.45600000000000002</v>
      </c>
      <c r="E73">
        <v>1.5588641237510899E-5</v>
      </c>
      <c r="F73" t="s">
        <v>1328</v>
      </c>
      <c r="G73" t="s">
        <v>1329</v>
      </c>
      <c r="H73" t="s">
        <v>1328</v>
      </c>
      <c r="I73" t="str">
        <f>HYPERLINK("https://zfin.org/ZDB-GENE-070424-30")</f>
        <v>https://zfin.org/ZDB-GENE-070424-30</v>
      </c>
      <c r="J73" t="s">
        <v>1327</v>
      </c>
    </row>
    <row r="74" spans="1:10" x14ac:dyDescent="0.2">
      <c r="A74">
        <v>1.0116911660373701E-9</v>
      </c>
      <c r="B74">
        <v>-0.449398755457601</v>
      </c>
      <c r="C74">
        <v>0.189</v>
      </c>
      <c r="D74">
        <v>0.34799999999999998</v>
      </c>
      <c r="E74">
        <v>1.5664014323756598E-5</v>
      </c>
      <c r="F74" t="s">
        <v>794</v>
      </c>
      <c r="G74" t="s">
        <v>795</v>
      </c>
      <c r="H74" t="s">
        <v>794</v>
      </c>
      <c r="I74" t="str">
        <f>HYPERLINK("https://zfin.org/ZDB-GENE-081028-55")</f>
        <v>https://zfin.org/ZDB-GENE-081028-55</v>
      </c>
      <c r="J74" t="s">
        <v>793</v>
      </c>
    </row>
    <row r="75" spans="1:10" x14ac:dyDescent="0.2">
      <c r="A75">
        <v>1.3201686552705E-9</v>
      </c>
      <c r="B75">
        <v>-0.38863697897674898</v>
      </c>
      <c r="C75">
        <v>1.7999999999999999E-2</v>
      </c>
      <c r="D75">
        <v>0.11</v>
      </c>
      <c r="E75">
        <v>2.0440171289553201E-5</v>
      </c>
      <c r="F75" t="s">
        <v>2497</v>
      </c>
      <c r="G75" t="s">
        <v>2498</v>
      </c>
      <c r="H75" t="s">
        <v>2497</v>
      </c>
      <c r="I75" t="str">
        <f>HYPERLINK("https://zfin.org/ZDB-GENE-020419-4")</f>
        <v>https://zfin.org/ZDB-GENE-020419-4</v>
      </c>
      <c r="J75" t="s">
        <v>2496</v>
      </c>
    </row>
    <row r="76" spans="1:10" x14ac:dyDescent="0.2">
      <c r="A76">
        <v>1.5797637941599E-9</v>
      </c>
      <c r="B76">
        <v>-0.25233414896503897</v>
      </c>
      <c r="C76">
        <v>0.80500000000000005</v>
      </c>
      <c r="D76">
        <v>0.86699999999999999</v>
      </c>
      <c r="E76">
        <v>2.4459482824977801E-5</v>
      </c>
      <c r="F76" t="s">
        <v>927</v>
      </c>
      <c r="G76" t="s">
        <v>928</v>
      </c>
      <c r="H76" t="s">
        <v>927</v>
      </c>
      <c r="I76" t="str">
        <f>HYPERLINK("https://zfin.org/ZDB-GENE-040426-1706")</f>
        <v>https://zfin.org/ZDB-GENE-040426-1706</v>
      </c>
      <c r="J76" t="s">
        <v>926</v>
      </c>
    </row>
    <row r="77" spans="1:10" x14ac:dyDescent="0.2">
      <c r="A77">
        <v>1.5912346211046801E-9</v>
      </c>
      <c r="B77">
        <v>-0.46744592414659197</v>
      </c>
      <c r="C77">
        <v>0.23400000000000001</v>
      </c>
      <c r="D77">
        <v>0.38100000000000001</v>
      </c>
      <c r="E77">
        <v>2.4637085638563699E-5</v>
      </c>
      <c r="F77" t="s">
        <v>2494</v>
      </c>
      <c r="G77" t="s">
        <v>2495</v>
      </c>
      <c r="H77" t="s">
        <v>2494</v>
      </c>
      <c r="I77" t="str">
        <f>HYPERLINK("https://zfin.org/ZDB-GENE-040426-2382")</f>
        <v>https://zfin.org/ZDB-GENE-040426-2382</v>
      </c>
      <c r="J77" t="s">
        <v>2493</v>
      </c>
    </row>
    <row r="78" spans="1:10" x14ac:dyDescent="0.2">
      <c r="A78">
        <v>1.77780033890176E-9</v>
      </c>
      <c r="B78">
        <v>-0.41507240346490498</v>
      </c>
      <c r="C78">
        <v>0.27100000000000002</v>
      </c>
      <c r="D78">
        <v>0.42499999999999999</v>
      </c>
      <c r="E78">
        <v>2.7525682647215998E-5</v>
      </c>
      <c r="F78" t="s">
        <v>2491</v>
      </c>
      <c r="G78" t="s">
        <v>2492</v>
      </c>
      <c r="H78" t="s">
        <v>2491</v>
      </c>
      <c r="I78" t="str">
        <f>HYPERLINK("https://zfin.org/ZDB-GENE-000511-2")</f>
        <v>https://zfin.org/ZDB-GENE-000511-2</v>
      </c>
      <c r="J78" t="s">
        <v>2490</v>
      </c>
    </row>
    <row r="79" spans="1:10" x14ac:dyDescent="0.2">
      <c r="A79">
        <v>2.0272663080208298E-9</v>
      </c>
      <c r="B79">
        <v>-0.39017889158674901</v>
      </c>
      <c r="C79">
        <v>0.105</v>
      </c>
      <c r="D79">
        <v>0.246</v>
      </c>
      <c r="E79">
        <v>3.1388164247086497E-5</v>
      </c>
      <c r="F79" t="s">
        <v>1674</v>
      </c>
      <c r="G79" t="s">
        <v>1675</v>
      </c>
      <c r="H79" t="s">
        <v>1674</v>
      </c>
      <c r="I79" t="str">
        <f>HYPERLINK("https://zfin.org/ZDB-GENE-031204-4")</f>
        <v>https://zfin.org/ZDB-GENE-031204-4</v>
      </c>
      <c r="J79" t="s">
        <v>1673</v>
      </c>
    </row>
    <row r="80" spans="1:10" x14ac:dyDescent="0.2">
      <c r="A80">
        <v>2.0427690166432599E-9</v>
      </c>
      <c r="B80">
        <v>-0.66030300401330599</v>
      </c>
      <c r="C80">
        <v>0.57199999999999995</v>
      </c>
      <c r="D80">
        <v>0.67300000000000004</v>
      </c>
      <c r="E80">
        <v>3.1628192684687598E-5</v>
      </c>
      <c r="F80" t="s">
        <v>2223</v>
      </c>
      <c r="G80" t="s">
        <v>2224</v>
      </c>
      <c r="H80" t="s">
        <v>2223</v>
      </c>
      <c r="I80" t="str">
        <f>HYPERLINK("https://zfin.org/ZDB-GENE-040912-122")</f>
        <v>https://zfin.org/ZDB-GENE-040912-122</v>
      </c>
      <c r="J80" t="s">
        <v>2222</v>
      </c>
    </row>
    <row r="81" spans="1:10" x14ac:dyDescent="0.2">
      <c r="A81">
        <v>2.1195501139749499E-9</v>
      </c>
      <c r="B81">
        <v>-0.40715981676477098</v>
      </c>
      <c r="C81">
        <v>0.38300000000000001</v>
      </c>
      <c r="D81">
        <v>0.53300000000000003</v>
      </c>
      <c r="E81">
        <v>3.2816994414674098E-5</v>
      </c>
      <c r="F81" t="s">
        <v>2488</v>
      </c>
      <c r="G81" t="s">
        <v>2489</v>
      </c>
      <c r="H81" t="s">
        <v>2488</v>
      </c>
      <c r="I81" t="str">
        <f>HYPERLINK("https://zfin.org/ZDB-GENE-040426-2706")</f>
        <v>https://zfin.org/ZDB-GENE-040426-2706</v>
      </c>
      <c r="J81" t="s">
        <v>2487</v>
      </c>
    </row>
    <row r="82" spans="1:10" x14ac:dyDescent="0.2">
      <c r="A82">
        <v>3.3626176912848799E-9</v>
      </c>
      <c r="B82">
        <v>-0.58233490920490305</v>
      </c>
      <c r="C82">
        <v>0.50800000000000001</v>
      </c>
      <c r="D82">
        <v>0.60399999999999998</v>
      </c>
      <c r="E82">
        <v>5.2063409714163698E-5</v>
      </c>
      <c r="F82" t="s">
        <v>2485</v>
      </c>
      <c r="G82" t="s">
        <v>2486</v>
      </c>
      <c r="H82" t="s">
        <v>2485</v>
      </c>
      <c r="I82" t="str">
        <f>HYPERLINK("https://zfin.org/ZDB-GENE-050506-24")</f>
        <v>https://zfin.org/ZDB-GENE-050506-24</v>
      </c>
      <c r="J82" t="s">
        <v>2484</v>
      </c>
    </row>
    <row r="83" spans="1:10" x14ac:dyDescent="0.2">
      <c r="A83">
        <v>3.4545844672557499E-9</v>
      </c>
      <c r="B83">
        <v>-0.35747810790899498</v>
      </c>
      <c r="C83">
        <v>0.63100000000000001</v>
      </c>
      <c r="D83">
        <v>0.72299999999999998</v>
      </c>
      <c r="E83">
        <v>5.3487331306520797E-5</v>
      </c>
      <c r="F83" t="s">
        <v>2482</v>
      </c>
      <c r="G83" t="s">
        <v>2483</v>
      </c>
      <c r="H83" t="s">
        <v>2482</v>
      </c>
      <c r="I83" t="str">
        <f>HYPERLINK("https://zfin.org/ZDB-GENE-030131-8554")</f>
        <v>https://zfin.org/ZDB-GENE-030131-8554</v>
      </c>
      <c r="J83" t="s">
        <v>2481</v>
      </c>
    </row>
    <row r="84" spans="1:10" x14ac:dyDescent="0.2">
      <c r="A84">
        <v>5.0770812246479598E-9</v>
      </c>
      <c r="B84">
        <v>-0.40031680527427699</v>
      </c>
      <c r="C84">
        <v>0.28299999999999997</v>
      </c>
      <c r="D84">
        <v>0.43099999999999999</v>
      </c>
      <c r="E84">
        <v>7.8608448601224395E-5</v>
      </c>
      <c r="F84" t="s">
        <v>1319</v>
      </c>
      <c r="G84" t="s">
        <v>1320</v>
      </c>
      <c r="H84" t="s">
        <v>1319</v>
      </c>
      <c r="I84" t="str">
        <f>HYPERLINK("https://zfin.org/ZDB-GENE-051120-147")</f>
        <v>https://zfin.org/ZDB-GENE-051120-147</v>
      </c>
      <c r="J84" t="s">
        <v>1318</v>
      </c>
    </row>
    <row r="85" spans="1:10" x14ac:dyDescent="0.2">
      <c r="A85">
        <v>6.41958143894806E-9</v>
      </c>
      <c r="B85">
        <v>-0.58542484388983895</v>
      </c>
      <c r="C85">
        <v>0.443</v>
      </c>
      <c r="D85">
        <v>0.55400000000000005</v>
      </c>
      <c r="E85">
        <v>9.9394379419232798E-5</v>
      </c>
      <c r="F85" t="s">
        <v>1767</v>
      </c>
      <c r="G85" t="s">
        <v>1768</v>
      </c>
      <c r="H85" t="s">
        <v>1767</v>
      </c>
      <c r="I85" t="str">
        <f>HYPERLINK("https://zfin.org/ZDB-GENE-010502-1")</f>
        <v>https://zfin.org/ZDB-GENE-010502-1</v>
      </c>
      <c r="J85" t="s">
        <v>1766</v>
      </c>
    </row>
    <row r="86" spans="1:10" x14ac:dyDescent="0.2">
      <c r="A86">
        <v>7.6646718214824801E-9</v>
      </c>
      <c r="B86">
        <v>-0.375390997698544</v>
      </c>
      <c r="C86">
        <v>0.28499999999999998</v>
      </c>
      <c r="D86">
        <v>0.44800000000000001</v>
      </c>
      <c r="E86">
        <v>1.18672113812013E-4</v>
      </c>
      <c r="F86" t="s">
        <v>2479</v>
      </c>
      <c r="G86" t="s">
        <v>2480</v>
      </c>
      <c r="H86" t="s">
        <v>2479</v>
      </c>
      <c r="I86" t="str">
        <f>HYPERLINK("https://zfin.org/ZDB-GENE-050417-307")</f>
        <v>https://zfin.org/ZDB-GENE-050417-307</v>
      </c>
      <c r="J86" t="s">
        <v>2478</v>
      </c>
    </row>
    <row r="87" spans="1:10" x14ac:dyDescent="0.2">
      <c r="A87">
        <v>7.8663182490567399E-9</v>
      </c>
      <c r="B87">
        <v>-0.38156413524645499</v>
      </c>
      <c r="C87">
        <v>0.10199999999999999</v>
      </c>
      <c r="D87">
        <v>0.22900000000000001</v>
      </c>
      <c r="E87">
        <v>1.21794205450146E-4</v>
      </c>
      <c r="F87" t="s">
        <v>2476</v>
      </c>
      <c r="G87" t="s">
        <v>2477</v>
      </c>
      <c r="H87" t="s">
        <v>2476</v>
      </c>
      <c r="I87" t="str">
        <f>HYPERLINK("https://zfin.org/ZDB-GENE-081107-62")</f>
        <v>https://zfin.org/ZDB-GENE-081107-62</v>
      </c>
      <c r="J87" t="s">
        <v>2475</v>
      </c>
    </row>
    <row r="88" spans="1:10" x14ac:dyDescent="0.2">
      <c r="A88">
        <v>7.9981201574672697E-9</v>
      </c>
      <c r="B88">
        <v>-0.43750546426480702</v>
      </c>
      <c r="C88">
        <v>9.1999999999999998E-2</v>
      </c>
      <c r="D88">
        <v>0.221</v>
      </c>
      <c r="E88">
        <v>1.2383489439806599E-4</v>
      </c>
      <c r="F88" t="s">
        <v>1512</v>
      </c>
      <c r="G88" t="s">
        <v>1513</v>
      </c>
      <c r="H88" t="s">
        <v>1512</v>
      </c>
      <c r="I88" t="str">
        <f>HYPERLINK("https://zfin.org/ZDB-GENE-001020-1")</f>
        <v>https://zfin.org/ZDB-GENE-001020-1</v>
      </c>
      <c r="J88" t="s">
        <v>1511</v>
      </c>
    </row>
    <row r="89" spans="1:10" x14ac:dyDescent="0.2">
      <c r="A89">
        <v>8.6360138743411501E-9</v>
      </c>
      <c r="B89">
        <v>-0.31959590366575202</v>
      </c>
      <c r="C89">
        <v>0.754</v>
      </c>
      <c r="D89">
        <v>0.81200000000000006</v>
      </c>
      <c r="E89">
        <v>1.33711402816424E-4</v>
      </c>
      <c r="F89" t="s">
        <v>1942</v>
      </c>
      <c r="G89" t="s">
        <v>1943</v>
      </c>
      <c r="H89" t="s">
        <v>1942</v>
      </c>
      <c r="I89" t="str">
        <f>HYPERLINK("https://zfin.org/ZDB-GENE-000210-25")</f>
        <v>https://zfin.org/ZDB-GENE-000210-25</v>
      </c>
      <c r="J89" t="s">
        <v>1941</v>
      </c>
    </row>
    <row r="90" spans="1:10" x14ac:dyDescent="0.2">
      <c r="A90">
        <v>8.6974598845744508E-9</v>
      </c>
      <c r="B90">
        <v>-0.44058565959298202</v>
      </c>
      <c r="C90">
        <v>5.8999999999999997E-2</v>
      </c>
      <c r="D90">
        <v>0.17299999999999999</v>
      </c>
      <c r="E90">
        <v>1.34662771392866E-4</v>
      </c>
      <c r="F90" t="s">
        <v>1713</v>
      </c>
      <c r="G90" t="s">
        <v>1714</v>
      </c>
      <c r="H90" t="s">
        <v>1713</v>
      </c>
      <c r="I90" t="str">
        <f>HYPERLINK("https://zfin.org/ZDB-GENE-030323-1")</f>
        <v>https://zfin.org/ZDB-GENE-030323-1</v>
      </c>
      <c r="J90" t="s">
        <v>1712</v>
      </c>
    </row>
    <row r="91" spans="1:10" x14ac:dyDescent="0.2">
      <c r="A91">
        <v>8.7423748312383304E-9</v>
      </c>
      <c r="B91">
        <v>-0.27221161561149299</v>
      </c>
      <c r="C91">
        <v>0.83599999999999997</v>
      </c>
      <c r="D91">
        <v>0.89600000000000002</v>
      </c>
      <c r="E91">
        <v>1.35358189512063E-4</v>
      </c>
      <c r="F91" t="s">
        <v>2473</v>
      </c>
      <c r="G91" t="s">
        <v>2474</v>
      </c>
      <c r="H91" t="s">
        <v>2473</v>
      </c>
      <c r="I91" t="str">
        <f>HYPERLINK("https://zfin.org/ZDB-GENE-030131-7275")</f>
        <v>https://zfin.org/ZDB-GENE-030131-7275</v>
      </c>
      <c r="J91" t="s">
        <v>2472</v>
      </c>
    </row>
    <row r="92" spans="1:10" x14ac:dyDescent="0.2">
      <c r="A92">
        <v>1.05216165319634E-8</v>
      </c>
      <c r="B92">
        <v>-0.45555126633628701</v>
      </c>
      <c r="C92">
        <v>0.25800000000000001</v>
      </c>
      <c r="D92">
        <v>0.41499999999999998</v>
      </c>
      <c r="E92">
        <v>1.6290618876438901E-4</v>
      </c>
      <c r="F92" t="s">
        <v>2470</v>
      </c>
      <c r="G92" t="s">
        <v>2471</v>
      </c>
      <c r="H92" t="s">
        <v>2470</v>
      </c>
      <c r="I92" t="str">
        <f>HYPERLINK("https://zfin.org/ZDB-GENE-120215-186")</f>
        <v>https://zfin.org/ZDB-GENE-120215-186</v>
      </c>
      <c r="J92" t="s">
        <v>2469</v>
      </c>
    </row>
    <row r="93" spans="1:10" x14ac:dyDescent="0.2">
      <c r="A93">
        <v>1.8281164414835001E-8</v>
      </c>
      <c r="B93">
        <v>-0.40328068344555901</v>
      </c>
      <c r="C93">
        <v>7.8E-2</v>
      </c>
      <c r="D93">
        <v>0.19800000000000001</v>
      </c>
      <c r="E93">
        <v>2.8304726863489002E-4</v>
      </c>
      <c r="F93" t="s">
        <v>2467</v>
      </c>
      <c r="G93" t="s">
        <v>2468</v>
      </c>
      <c r="H93" t="s">
        <v>2467</v>
      </c>
      <c r="I93" t="str">
        <f>HYPERLINK("https://zfin.org/ZDB-GENE-040912-141")</f>
        <v>https://zfin.org/ZDB-GENE-040912-141</v>
      </c>
      <c r="J93" t="s">
        <v>2466</v>
      </c>
    </row>
    <row r="94" spans="1:10" x14ac:dyDescent="0.2">
      <c r="A94">
        <v>2.1215340059776301E-8</v>
      </c>
      <c r="B94">
        <v>-0.40103867265090298</v>
      </c>
      <c r="C94">
        <v>0.20499999999999999</v>
      </c>
      <c r="D94">
        <v>0.34799999999999998</v>
      </c>
      <c r="E94">
        <v>3.2847711014551601E-4</v>
      </c>
      <c r="F94" t="s">
        <v>1506</v>
      </c>
      <c r="G94" t="s">
        <v>1507</v>
      </c>
      <c r="H94" t="s">
        <v>1506</v>
      </c>
      <c r="I94" t="str">
        <f>HYPERLINK("https://zfin.org/ZDB-GENE-080708-1")</f>
        <v>https://zfin.org/ZDB-GENE-080708-1</v>
      </c>
      <c r="J94" t="s">
        <v>1505</v>
      </c>
    </row>
    <row r="95" spans="1:10" x14ac:dyDescent="0.2">
      <c r="A95">
        <v>2.2229784708725601E-8</v>
      </c>
      <c r="B95">
        <v>-0.39165369104635001</v>
      </c>
      <c r="C95">
        <v>0.30499999999999999</v>
      </c>
      <c r="D95">
        <v>0.45800000000000002</v>
      </c>
      <c r="E95">
        <v>3.4418375664519899E-4</v>
      </c>
      <c r="F95" t="s">
        <v>1143</v>
      </c>
      <c r="G95" t="s">
        <v>1144</v>
      </c>
      <c r="H95" t="s">
        <v>1143</v>
      </c>
      <c r="I95" t="str">
        <f>HYPERLINK("https://zfin.org/ZDB-GENE-030131-6757")</f>
        <v>https://zfin.org/ZDB-GENE-030131-6757</v>
      </c>
      <c r="J95" t="s">
        <v>1142</v>
      </c>
    </row>
    <row r="96" spans="1:10" x14ac:dyDescent="0.2">
      <c r="A96">
        <v>2.6285704350429001E-8</v>
      </c>
      <c r="B96">
        <v>-0.29790570188349602</v>
      </c>
      <c r="C96">
        <v>2.9000000000000001E-2</v>
      </c>
      <c r="D96">
        <v>0.121</v>
      </c>
      <c r="E96">
        <v>4.06981560457693E-4</v>
      </c>
      <c r="F96" t="s">
        <v>2464</v>
      </c>
      <c r="G96" t="s">
        <v>2465</v>
      </c>
      <c r="H96" t="s">
        <v>2464</v>
      </c>
      <c r="I96" t="str">
        <f>HYPERLINK("https://zfin.org/ZDB-GENE-061103-265")</f>
        <v>https://zfin.org/ZDB-GENE-061103-265</v>
      </c>
      <c r="J96" t="s">
        <v>2463</v>
      </c>
    </row>
    <row r="97" spans="1:10" x14ac:dyDescent="0.2">
      <c r="A97">
        <v>4.1122635671645402E-8</v>
      </c>
      <c r="B97">
        <v>-0.42897809293411499</v>
      </c>
      <c r="C97">
        <v>0.20899999999999999</v>
      </c>
      <c r="D97">
        <v>0.34399999999999997</v>
      </c>
      <c r="E97">
        <v>6.3670176810408504E-4</v>
      </c>
      <c r="F97" t="s">
        <v>2461</v>
      </c>
      <c r="G97" t="s">
        <v>2462</v>
      </c>
      <c r="H97" t="s">
        <v>2461</v>
      </c>
      <c r="I97" t="str">
        <f>HYPERLINK("https://zfin.org/ZDB-GENE-080829-3")</f>
        <v>https://zfin.org/ZDB-GENE-080829-3</v>
      </c>
      <c r="J97" t="s">
        <v>2460</v>
      </c>
    </row>
    <row r="98" spans="1:10" x14ac:dyDescent="0.2">
      <c r="A98">
        <v>5.2009267775971497E-8</v>
      </c>
      <c r="B98">
        <v>-0.29360977785315401</v>
      </c>
      <c r="C98">
        <v>0.67400000000000004</v>
      </c>
      <c r="D98">
        <v>0.77900000000000003</v>
      </c>
      <c r="E98">
        <v>8.0525949297536605E-4</v>
      </c>
      <c r="F98" t="s">
        <v>2458</v>
      </c>
      <c r="G98" t="s">
        <v>2459</v>
      </c>
      <c r="H98" t="s">
        <v>2458</v>
      </c>
      <c r="I98" t="str">
        <f>HYPERLINK("https://zfin.org/ZDB-GENE-040426-1852")</f>
        <v>https://zfin.org/ZDB-GENE-040426-1852</v>
      </c>
      <c r="J98" t="s">
        <v>2457</v>
      </c>
    </row>
    <row r="99" spans="1:10" x14ac:dyDescent="0.2">
      <c r="A99">
        <v>7.9538096279519905E-8</v>
      </c>
      <c r="B99">
        <v>-0.38456351717548598</v>
      </c>
      <c r="C99">
        <v>0.51600000000000001</v>
      </c>
      <c r="D99">
        <v>0.627</v>
      </c>
      <c r="E99">
        <v>1.2314883446958101E-3</v>
      </c>
      <c r="F99" t="s">
        <v>2238</v>
      </c>
      <c r="G99" t="s">
        <v>2239</v>
      </c>
      <c r="H99" t="s">
        <v>2238</v>
      </c>
      <c r="I99" t="str">
        <f>HYPERLINK("https://zfin.org/ZDB-GENE-030131-8625")</f>
        <v>https://zfin.org/ZDB-GENE-030131-8625</v>
      </c>
      <c r="J99" t="s">
        <v>2237</v>
      </c>
    </row>
    <row r="100" spans="1:10" x14ac:dyDescent="0.2">
      <c r="A100">
        <v>1.5190988917702701E-7</v>
      </c>
      <c r="B100">
        <v>-0.34881046968804702</v>
      </c>
      <c r="C100">
        <v>0.29099999999999998</v>
      </c>
      <c r="D100">
        <v>0.41899999999999998</v>
      </c>
      <c r="E100">
        <v>2.3520208141279099E-3</v>
      </c>
      <c r="F100" t="s">
        <v>2455</v>
      </c>
      <c r="G100" t="s">
        <v>2456</v>
      </c>
      <c r="H100" t="s">
        <v>2455</v>
      </c>
      <c r="I100" t="str">
        <f>HYPERLINK("https://zfin.org/ZDB-GENE-060810-79")</f>
        <v>https://zfin.org/ZDB-GENE-060810-79</v>
      </c>
      <c r="J100" t="s">
        <v>2454</v>
      </c>
    </row>
    <row r="101" spans="1:10" x14ac:dyDescent="0.2">
      <c r="A101">
        <v>1.87714576222423E-7</v>
      </c>
      <c r="B101">
        <v>-0.30566909622336802</v>
      </c>
      <c r="C101">
        <v>0.63500000000000001</v>
      </c>
      <c r="D101">
        <v>0.72899999999999998</v>
      </c>
      <c r="E101">
        <v>2.9063847836517699E-3</v>
      </c>
      <c r="F101" t="s">
        <v>2452</v>
      </c>
      <c r="G101" t="s">
        <v>2453</v>
      </c>
      <c r="H101" t="s">
        <v>2452</v>
      </c>
      <c r="I101" t="str">
        <f>HYPERLINK("https://zfin.org/ZDB-GENE-030131-8247")</f>
        <v>https://zfin.org/ZDB-GENE-030131-8247</v>
      </c>
      <c r="J101" t="s">
        <v>2451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E80CF-DDA7-644F-AADB-848613E926FB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1.15128977981551E-18</v>
      </c>
      <c r="B2">
        <v>1.79429995950026</v>
      </c>
      <c r="C2">
        <v>0.92600000000000005</v>
      </c>
      <c r="D2">
        <v>0.65800000000000003</v>
      </c>
      <c r="E2">
        <v>1.7825419660883501E-14</v>
      </c>
      <c r="F2" t="s">
        <v>219</v>
      </c>
      <c r="G2" t="s">
        <v>220</v>
      </c>
      <c r="H2" t="s">
        <v>219</v>
      </c>
      <c r="I2" t="str">
        <f>HYPERLINK("https://zfin.org/ZDB-GENE-121214-200")</f>
        <v>https://zfin.org/ZDB-GENE-121214-200</v>
      </c>
      <c r="J2" t="s">
        <v>221</v>
      </c>
    </row>
    <row r="3" spans="1:10" x14ac:dyDescent="0.2">
      <c r="A3">
        <v>4.0334304751848004E-18</v>
      </c>
      <c r="B3">
        <v>1.5901307018492501</v>
      </c>
      <c r="C3">
        <v>0.90400000000000003</v>
      </c>
      <c r="D3">
        <v>0.50600000000000001</v>
      </c>
      <c r="E3">
        <v>6.24496040472862E-14</v>
      </c>
      <c r="F3" t="s">
        <v>106</v>
      </c>
      <c r="G3" t="s">
        <v>107</v>
      </c>
      <c r="H3" t="s">
        <v>106</v>
      </c>
      <c r="I3" t="str">
        <f>HYPERLINK("https://zfin.org/ZDB-GENE-101011-2")</f>
        <v>https://zfin.org/ZDB-GENE-101011-2</v>
      </c>
      <c r="J3" t="s">
        <v>108</v>
      </c>
    </row>
    <row r="4" spans="1:10" x14ac:dyDescent="0.2">
      <c r="A4">
        <v>2.1989683037927701E-13</v>
      </c>
      <c r="B4">
        <v>1.02212905290522</v>
      </c>
      <c r="C4">
        <v>0.89400000000000002</v>
      </c>
      <c r="D4">
        <v>0.64600000000000002</v>
      </c>
      <c r="E4">
        <v>3.40466262476234E-9</v>
      </c>
      <c r="F4" t="s">
        <v>204</v>
      </c>
      <c r="G4" t="s">
        <v>205</v>
      </c>
      <c r="H4" t="s">
        <v>204</v>
      </c>
      <c r="I4" t="str">
        <f>HYPERLINK("https://zfin.org/")</f>
        <v>https://zfin.org/</v>
      </c>
      <c r="J4" t="s">
        <v>206</v>
      </c>
    </row>
    <row r="5" spans="1:10" x14ac:dyDescent="0.2">
      <c r="A5">
        <v>3.7033222936975402E-13</v>
      </c>
      <c r="B5">
        <v>1.10151679352434</v>
      </c>
      <c r="C5">
        <v>0.89400000000000002</v>
      </c>
      <c r="D5">
        <v>0.62</v>
      </c>
      <c r="E5">
        <v>5.7338539073318998E-9</v>
      </c>
      <c r="F5" t="s">
        <v>37</v>
      </c>
      <c r="G5" t="s">
        <v>38</v>
      </c>
      <c r="H5" t="s">
        <v>37</v>
      </c>
      <c r="I5" t="str">
        <f>HYPERLINK("https://zfin.org/ZDB-GENE-110411-160")</f>
        <v>https://zfin.org/ZDB-GENE-110411-160</v>
      </c>
      <c r="J5" t="s">
        <v>39</v>
      </c>
    </row>
    <row r="6" spans="1:10" x14ac:dyDescent="0.2">
      <c r="A6">
        <v>4.3198611210365501E-13</v>
      </c>
      <c r="B6">
        <v>1.10081779392792</v>
      </c>
      <c r="C6">
        <v>0.83</v>
      </c>
      <c r="D6">
        <v>0.36699999999999999</v>
      </c>
      <c r="E6">
        <v>6.6884409737008901E-9</v>
      </c>
      <c r="F6" t="s">
        <v>135</v>
      </c>
      <c r="G6" t="s">
        <v>136</v>
      </c>
      <c r="H6" t="s">
        <v>135</v>
      </c>
      <c r="I6" t="str">
        <f>HYPERLINK("https://zfin.org/ZDB-GENE-071205-8")</f>
        <v>https://zfin.org/ZDB-GENE-071205-8</v>
      </c>
      <c r="J6" t="s">
        <v>137</v>
      </c>
    </row>
    <row r="7" spans="1:10" x14ac:dyDescent="0.2">
      <c r="A7">
        <v>7.0442516847126497E-13</v>
      </c>
      <c r="B7">
        <v>1.21471855421312</v>
      </c>
      <c r="C7">
        <v>0.755</v>
      </c>
      <c r="D7">
        <v>0.215</v>
      </c>
      <c r="E7">
        <v>1.09066148834406E-8</v>
      </c>
      <c r="F7" t="s">
        <v>1143</v>
      </c>
      <c r="G7" t="s">
        <v>1144</v>
      </c>
      <c r="H7" t="s">
        <v>1143</v>
      </c>
      <c r="I7" t="str">
        <f>HYPERLINK("https://zfin.org/ZDB-GENE-030131-6757")</f>
        <v>https://zfin.org/ZDB-GENE-030131-6757</v>
      </c>
      <c r="J7" t="s">
        <v>1142</v>
      </c>
    </row>
    <row r="8" spans="1:10" x14ac:dyDescent="0.2">
      <c r="A8">
        <v>2.17320870958587E-12</v>
      </c>
      <c r="B8">
        <v>0.94124915113957397</v>
      </c>
      <c r="C8">
        <v>0.89400000000000002</v>
      </c>
      <c r="D8">
        <v>0.70899999999999996</v>
      </c>
      <c r="E8">
        <v>3.3647790450518002E-8</v>
      </c>
      <c r="F8" t="s">
        <v>31</v>
      </c>
      <c r="G8" t="s">
        <v>32</v>
      </c>
      <c r="H8" t="s">
        <v>31</v>
      </c>
      <c r="I8" t="str">
        <f>HYPERLINK("https://zfin.org/ZDB-GENE-060316-3")</f>
        <v>https://zfin.org/ZDB-GENE-060316-3</v>
      </c>
      <c r="J8" t="s">
        <v>33</v>
      </c>
    </row>
    <row r="9" spans="1:10" x14ac:dyDescent="0.2">
      <c r="A9">
        <v>2.4720889462212201E-12</v>
      </c>
      <c r="B9">
        <v>1.17693637703567</v>
      </c>
      <c r="C9">
        <v>0.755</v>
      </c>
      <c r="D9">
        <v>0.27800000000000002</v>
      </c>
      <c r="E9">
        <v>3.8275353154343201E-8</v>
      </c>
      <c r="F9" t="s">
        <v>174</v>
      </c>
      <c r="G9" t="s">
        <v>175</v>
      </c>
      <c r="H9" t="s">
        <v>174</v>
      </c>
      <c r="I9" t="str">
        <f>HYPERLINK("https://zfin.org/ZDB-GENE-050308-1")</f>
        <v>https://zfin.org/ZDB-GENE-050308-1</v>
      </c>
      <c r="J9" t="s">
        <v>176</v>
      </c>
    </row>
    <row r="10" spans="1:10" x14ac:dyDescent="0.2">
      <c r="A10">
        <v>8.0739653264399097E-12</v>
      </c>
      <c r="B10">
        <v>0.97801273358834695</v>
      </c>
      <c r="C10">
        <v>0.85099999999999998</v>
      </c>
      <c r="D10">
        <v>0.56999999999999995</v>
      </c>
      <c r="E10">
        <v>1.25009205149269E-7</v>
      </c>
      <c r="F10" t="s">
        <v>180</v>
      </c>
      <c r="G10" t="s">
        <v>181</v>
      </c>
      <c r="H10" t="s">
        <v>180</v>
      </c>
      <c r="I10" t="str">
        <f>HYPERLINK("https://zfin.org/ZDB-GENE-030826-15")</f>
        <v>https://zfin.org/ZDB-GENE-030826-15</v>
      </c>
      <c r="J10" t="s">
        <v>182</v>
      </c>
    </row>
    <row r="11" spans="1:10" x14ac:dyDescent="0.2">
      <c r="A11">
        <v>1.28033186707287E-11</v>
      </c>
      <c r="B11">
        <v>0.93823837475903604</v>
      </c>
      <c r="C11">
        <v>0.90400000000000003</v>
      </c>
      <c r="D11">
        <v>0.63300000000000001</v>
      </c>
      <c r="E11">
        <v>1.98233782978893E-7</v>
      </c>
      <c r="F11" t="s">
        <v>46</v>
      </c>
      <c r="G11" t="s">
        <v>47</v>
      </c>
      <c r="H11" t="s">
        <v>46</v>
      </c>
      <c r="I11" t="str">
        <f>HYPERLINK("https://zfin.org/ZDB-GENE-060503-431")</f>
        <v>https://zfin.org/ZDB-GENE-060503-431</v>
      </c>
      <c r="J11" t="s">
        <v>48</v>
      </c>
    </row>
    <row r="12" spans="1:10" x14ac:dyDescent="0.2">
      <c r="A12">
        <v>3.15442263460131E-11</v>
      </c>
      <c r="B12">
        <v>0.92404251254825598</v>
      </c>
      <c r="C12">
        <v>0.51100000000000001</v>
      </c>
      <c r="D12">
        <v>3.7999999999999999E-2</v>
      </c>
      <c r="E12">
        <v>4.8839925651532003E-7</v>
      </c>
      <c r="F12" t="s">
        <v>1211</v>
      </c>
      <c r="G12" t="s">
        <v>1212</v>
      </c>
      <c r="H12" t="s">
        <v>1211</v>
      </c>
      <c r="I12" t="str">
        <f>HYPERLINK("https://zfin.org/ZDB-GENE-131127-337")</f>
        <v>https://zfin.org/ZDB-GENE-131127-337</v>
      </c>
      <c r="J12" t="s">
        <v>1210</v>
      </c>
    </row>
    <row r="13" spans="1:10" x14ac:dyDescent="0.2">
      <c r="A13">
        <v>1.07612149428902E-10</v>
      </c>
      <c r="B13">
        <v>1.0270984997582899</v>
      </c>
      <c r="C13">
        <v>0.78700000000000003</v>
      </c>
      <c r="D13">
        <v>0.43</v>
      </c>
      <c r="E13">
        <v>1.6661589096076999E-6</v>
      </c>
      <c r="F13" t="s">
        <v>237</v>
      </c>
      <c r="G13" t="s">
        <v>238</v>
      </c>
      <c r="H13" t="s">
        <v>237</v>
      </c>
      <c r="I13" t="str">
        <f>HYPERLINK("https://zfin.org/ZDB-GENE-040426-2931")</f>
        <v>https://zfin.org/ZDB-GENE-040426-2931</v>
      </c>
      <c r="J13" t="s">
        <v>239</v>
      </c>
    </row>
    <row r="14" spans="1:10" x14ac:dyDescent="0.2">
      <c r="A14">
        <v>1.7434500925669599E-10</v>
      </c>
      <c r="B14">
        <v>1.07172577090657</v>
      </c>
      <c r="C14">
        <v>0.83</v>
      </c>
      <c r="D14">
        <v>0.46800000000000003</v>
      </c>
      <c r="E14">
        <v>2.69938377832142E-6</v>
      </c>
      <c r="F14" t="s">
        <v>103</v>
      </c>
      <c r="G14" t="s">
        <v>104</v>
      </c>
      <c r="H14" t="s">
        <v>103</v>
      </c>
      <c r="I14" t="str">
        <f>HYPERLINK("https://zfin.org/ZDB-GENE-041121-18")</f>
        <v>https://zfin.org/ZDB-GENE-041121-18</v>
      </c>
      <c r="J14" t="s">
        <v>105</v>
      </c>
    </row>
    <row r="15" spans="1:10" x14ac:dyDescent="0.2">
      <c r="A15">
        <v>1.9783450398658599E-10</v>
      </c>
      <c r="B15">
        <v>1.09465111382352</v>
      </c>
      <c r="C15">
        <v>0.71299999999999997</v>
      </c>
      <c r="D15">
        <v>0.35399999999999998</v>
      </c>
      <c r="E15">
        <v>3.06307162522432E-6</v>
      </c>
      <c r="F15" t="s">
        <v>138</v>
      </c>
      <c r="G15" t="s">
        <v>139</v>
      </c>
      <c r="H15" t="s">
        <v>138</v>
      </c>
      <c r="I15" t="str">
        <f>HYPERLINK("https://zfin.org/ZDB-GENE-030131-2524")</f>
        <v>https://zfin.org/ZDB-GENE-030131-2524</v>
      </c>
      <c r="J15" t="s">
        <v>140</v>
      </c>
    </row>
    <row r="16" spans="1:10" x14ac:dyDescent="0.2">
      <c r="A16">
        <v>3.43719627360304E-10</v>
      </c>
      <c r="B16">
        <v>1.2343599879881899</v>
      </c>
      <c r="C16">
        <v>0.745</v>
      </c>
      <c r="D16">
        <v>0.40500000000000003</v>
      </c>
      <c r="E16">
        <v>5.3218109904195903E-6</v>
      </c>
      <c r="F16" t="s">
        <v>246</v>
      </c>
      <c r="G16" t="s">
        <v>247</v>
      </c>
      <c r="H16" t="s">
        <v>246</v>
      </c>
      <c r="I16" t="str">
        <f>HYPERLINK("https://zfin.org/ZDB-GENE-040426-2720")</f>
        <v>https://zfin.org/ZDB-GENE-040426-2720</v>
      </c>
      <c r="J16" t="s">
        <v>248</v>
      </c>
    </row>
    <row r="17" spans="1:10" x14ac:dyDescent="0.2">
      <c r="A17">
        <v>4.1965585083260702E-10</v>
      </c>
      <c r="B17">
        <v>1.0049084257256899</v>
      </c>
      <c r="C17">
        <v>0.91500000000000004</v>
      </c>
      <c r="D17">
        <v>0.64600000000000002</v>
      </c>
      <c r="E17">
        <v>6.4975315384412498E-6</v>
      </c>
      <c r="F17" t="s">
        <v>2569</v>
      </c>
      <c r="G17" t="s">
        <v>2570</v>
      </c>
      <c r="H17" t="s">
        <v>2569</v>
      </c>
      <c r="I17" t="str">
        <f>HYPERLINK("https://zfin.org/ZDB-GENE-030131-9167")</f>
        <v>https://zfin.org/ZDB-GENE-030131-9167</v>
      </c>
      <c r="J17" t="s">
        <v>2568</v>
      </c>
    </row>
    <row r="18" spans="1:10" x14ac:dyDescent="0.2">
      <c r="A18">
        <v>1.12649948406741E-9</v>
      </c>
      <c r="B18">
        <v>0.695116380425012</v>
      </c>
      <c r="C18">
        <v>0.98899999999999999</v>
      </c>
      <c r="D18">
        <v>0.97499999999999998</v>
      </c>
      <c r="E18">
        <v>1.7441591511815801E-5</v>
      </c>
      <c r="F18" t="s">
        <v>16</v>
      </c>
      <c r="G18" t="s">
        <v>17</v>
      </c>
      <c r="H18" t="s">
        <v>16</v>
      </c>
      <c r="I18" t="str">
        <f>HYPERLINK("https://zfin.org/ZDB-GENE-061201-9")</f>
        <v>https://zfin.org/ZDB-GENE-061201-9</v>
      </c>
      <c r="J18" t="s">
        <v>18</v>
      </c>
    </row>
    <row r="19" spans="1:10" x14ac:dyDescent="0.2">
      <c r="A19">
        <v>2.1406740068722102E-9</v>
      </c>
      <c r="B19">
        <v>0.485164678202886</v>
      </c>
      <c r="C19">
        <v>0.98899999999999999</v>
      </c>
      <c r="D19">
        <v>0.97499999999999998</v>
      </c>
      <c r="E19">
        <v>3.3144055648402498E-5</v>
      </c>
      <c r="F19" t="s">
        <v>25</v>
      </c>
      <c r="G19" t="s">
        <v>26</v>
      </c>
      <c r="H19" t="s">
        <v>25</v>
      </c>
      <c r="I19" t="str">
        <f>HYPERLINK("https://zfin.org/ZDB-GENE-040426-2209")</f>
        <v>https://zfin.org/ZDB-GENE-040426-2209</v>
      </c>
      <c r="J19" t="s">
        <v>27</v>
      </c>
    </row>
    <row r="20" spans="1:10" x14ac:dyDescent="0.2">
      <c r="A20">
        <v>5.8338765842289503E-9</v>
      </c>
      <c r="B20">
        <v>1.1101619530982501</v>
      </c>
      <c r="C20">
        <v>0.52100000000000002</v>
      </c>
      <c r="D20">
        <v>0.127</v>
      </c>
      <c r="E20">
        <v>9.0325911153616803E-5</v>
      </c>
      <c r="F20" t="s">
        <v>1196</v>
      </c>
      <c r="G20" t="s">
        <v>1197</v>
      </c>
      <c r="H20" t="s">
        <v>1196</v>
      </c>
      <c r="I20" t="str">
        <f>HYPERLINK("https://zfin.org/ZDB-GENE-061103-283")</f>
        <v>https://zfin.org/ZDB-GENE-061103-283</v>
      </c>
      <c r="J20" t="s">
        <v>1195</v>
      </c>
    </row>
    <row r="21" spans="1:10" x14ac:dyDescent="0.2">
      <c r="A21">
        <v>8.8766240706735505E-9</v>
      </c>
      <c r="B21">
        <v>0.68433192172297197</v>
      </c>
      <c r="C21">
        <v>0.98899999999999999</v>
      </c>
      <c r="D21">
        <v>0.82299999999999995</v>
      </c>
      <c r="E21">
        <v>1.37436770486239E-4</v>
      </c>
      <c r="F21" t="s">
        <v>906</v>
      </c>
      <c r="G21" t="s">
        <v>907</v>
      </c>
      <c r="H21" t="s">
        <v>906</v>
      </c>
      <c r="I21" t="str">
        <f>HYPERLINK("https://zfin.org/ZDB-GENE-051030-81")</f>
        <v>https://zfin.org/ZDB-GENE-051030-81</v>
      </c>
      <c r="J21" t="s">
        <v>905</v>
      </c>
    </row>
    <row r="22" spans="1:10" x14ac:dyDescent="0.2">
      <c r="A22">
        <v>1.21794449564108E-8</v>
      </c>
      <c r="B22">
        <v>0.836408550710942</v>
      </c>
      <c r="C22">
        <v>0.44700000000000001</v>
      </c>
      <c r="D22">
        <v>6.3E-2</v>
      </c>
      <c r="E22">
        <v>1.8857434626010899E-4</v>
      </c>
      <c r="F22" t="s">
        <v>1149</v>
      </c>
      <c r="G22" t="s">
        <v>1150</v>
      </c>
      <c r="H22" t="s">
        <v>1149</v>
      </c>
      <c r="I22" t="str">
        <f>HYPERLINK("https://zfin.org/ZDB-GENE-070912-648")</f>
        <v>https://zfin.org/ZDB-GENE-070912-648</v>
      </c>
      <c r="J22" t="s">
        <v>1148</v>
      </c>
    </row>
    <row r="23" spans="1:10" x14ac:dyDescent="0.2">
      <c r="A23">
        <v>2.64101986158655E-8</v>
      </c>
      <c r="B23">
        <v>0.81908426077649799</v>
      </c>
      <c r="C23">
        <v>0.85099999999999998</v>
      </c>
      <c r="D23">
        <v>0.65800000000000003</v>
      </c>
      <c r="E23">
        <v>4.0890910516944498E-4</v>
      </c>
      <c r="F23" t="s">
        <v>55</v>
      </c>
      <c r="G23" t="s">
        <v>56</v>
      </c>
      <c r="H23" t="s">
        <v>55</v>
      </c>
      <c r="I23" t="str">
        <f>HYPERLINK("https://zfin.org/ZDB-GENE-030131-2391")</f>
        <v>https://zfin.org/ZDB-GENE-030131-2391</v>
      </c>
      <c r="J23" t="s">
        <v>57</v>
      </c>
    </row>
    <row r="24" spans="1:10" x14ac:dyDescent="0.2">
      <c r="A24">
        <v>2.74256874207188E-8</v>
      </c>
      <c r="B24">
        <v>0.551045041397493</v>
      </c>
      <c r="C24">
        <v>0.93600000000000005</v>
      </c>
      <c r="D24">
        <v>0.84799999999999998</v>
      </c>
      <c r="E24">
        <v>4.2463191833498902E-4</v>
      </c>
      <c r="F24" t="s">
        <v>28</v>
      </c>
      <c r="G24" t="s">
        <v>29</v>
      </c>
      <c r="H24" t="s">
        <v>28</v>
      </c>
      <c r="I24" t="str">
        <f>HYPERLINK("https://zfin.org/ZDB-GENE-011210-2")</f>
        <v>https://zfin.org/ZDB-GENE-011210-2</v>
      </c>
      <c r="J24" t="s">
        <v>30</v>
      </c>
    </row>
    <row r="25" spans="1:10" x14ac:dyDescent="0.2">
      <c r="A25">
        <v>2.7818655336906E-8</v>
      </c>
      <c r="B25">
        <v>0.96607112327608002</v>
      </c>
      <c r="C25">
        <v>0.57399999999999995</v>
      </c>
      <c r="D25">
        <v>0.20300000000000001</v>
      </c>
      <c r="E25">
        <v>4.30716240581315E-4</v>
      </c>
      <c r="F25" t="s">
        <v>1092</v>
      </c>
      <c r="G25" t="s">
        <v>1093</v>
      </c>
      <c r="H25" t="s">
        <v>1092</v>
      </c>
      <c r="I25" t="str">
        <f>HYPERLINK("https://zfin.org/ZDB-GENE-030131-261")</f>
        <v>https://zfin.org/ZDB-GENE-030131-261</v>
      </c>
      <c r="J25" t="s">
        <v>1091</v>
      </c>
    </row>
    <row r="26" spans="1:10" x14ac:dyDescent="0.2">
      <c r="A26">
        <v>3.0279144960628002E-8</v>
      </c>
      <c r="B26">
        <v>0.86335309658430404</v>
      </c>
      <c r="C26">
        <v>0.84</v>
      </c>
      <c r="D26">
        <v>0.53200000000000003</v>
      </c>
      <c r="E26">
        <v>4.6881200142540399E-4</v>
      </c>
      <c r="F26" t="s">
        <v>2290</v>
      </c>
      <c r="G26" t="s">
        <v>2291</v>
      </c>
      <c r="H26" t="s">
        <v>2290</v>
      </c>
      <c r="I26" t="str">
        <f>HYPERLINK("https://zfin.org/ZDB-GENE-000210-8")</f>
        <v>https://zfin.org/ZDB-GENE-000210-8</v>
      </c>
      <c r="J26" t="s">
        <v>2289</v>
      </c>
    </row>
    <row r="27" spans="1:10" x14ac:dyDescent="0.2">
      <c r="A27">
        <v>5.1190712294896902E-8</v>
      </c>
      <c r="B27">
        <v>0.68357265016507895</v>
      </c>
      <c r="C27">
        <v>0.81899999999999995</v>
      </c>
      <c r="D27">
        <v>0.55700000000000005</v>
      </c>
      <c r="E27">
        <v>7.92585798461889E-4</v>
      </c>
      <c r="F27" t="s">
        <v>141</v>
      </c>
      <c r="G27" t="s">
        <v>142</v>
      </c>
      <c r="H27" t="s">
        <v>141</v>
      </c>
      <c r="I27" t="str">
        <f>HYPERLINK("https://zfin.org/ZDB-GENE-040426-2770")</f>
        <v>https://zfin.org/ZDB-GENE-040426-2770</v>
      </c>
      <c r="J27" t="s">
        <v>143</v>
      </c>
    </row>
    <row r="28" spans="1:10" x14ac:dyDescent="0.2">
      <c r="A28">
        <v>9.7129824928610803E-8</v>
      </c>
      <c r="B28">
        <v>0.67894913172618399</v>
      </c>
      <c r="C28">
        <v>0.93600000000000005</v>
      </c>
      <c r="D28">
        <v>0.83499999999999996</v>
      </c>
      <c r="E28">
        <v>1.5038610793696801E-3</v>
      </c>
      <c r="F28" t="s">
        <v>2655</v>
      </c>
      <c r="G28" t="s">
        <v>2656</v>
      </c>
      <c r="H28" t="s">
        <v>2655</v>
      </c>
      <c r="I28" t="str">
        <f>HYPERLINK("https://zfin.org/ZDB-GENE-131120-172")</f>
        <v>https://zfin.org/ZDB-GENE-131120-172</v>
      </c>
      <c r="J28" t="s">
        <v>2654</v>
      </c>
    </row>
    <row r="29" spans="1:10" x14ac:dyDescent="0.2">
      <c r="A29">
        <v>9.9410224929932201E-8</v>
      </c>
      <c r="B29">
        <v>0.89242270653267597</v>
      </c>
      <c r="C29">
        <v>0.55300000000000005</v>
      </c>
      <c r="D29">
        <v>0.20300000000000001</v>
      </c>
      <c r="E29">
        <v>1.5391685125901401E-3</v>
      </c>
      <c r="F29" t="s">
        <v>1539</v>
      </c>
      <c r="G29" t="s">
        <v>1540</v>
      </c>
      <c r="H29" t="s">
        <v>1539</v>
      </c>
      <c r="I29" t="str">
        <f>HYPERLINK("https://zfin.org/ZDB-GENE-040912-46")</f>
        <v>https://zfin.org/ZDB-GENE-040912-46</v>
      </c>
      <c r="J29" t="s">
        <v>1538</v>
      </c>
    </row>
    <row r="30" spans="1:10" x14ac:dyDescent="0.2">
      <c r="A30">
        <v>1.05918374754677E-7</v>
      </c>
      <c r="B30">
        <v>0.91622484682048499</v>
      </c>
      <c r="C30">
        <v>0.60599999999999998</v>
      </c>
      <c r="D30">
        <v>0.22800000000000001</v>
      </c>
      <c r="E30">
        <v>1.63993419632667E-3</v>
      </c>
      <c r="F30" t="s">
        <v>264</v>
      </c>
      <c r="G30" t="s">
        <v>265</v>
      </c>
      <c r="H30" t="s">
        <v>264</v>
      </c>
      <c r="I30" t="str">
        <f>HYPERLINK("https://zfin.org/ZDB-GENE-050320-109")</f>
        <v>https://zfin.org/ZDB-GENE-050320-109</v>
      </c>
      <c r="J30" t="s">
        <v>266</v>
      </c>
    </row>
    <row r="31" spans="1:10" x14ac:dyDescent="0.2">
      <c r="A31">
        <v>1.50299913076222E-7</v>
      </c>
      <c r="B31">
        <v>0.83371768392988899</v>
      </c>
      <c r="C31">
        <v>0.57399999999999995</v>
      </c>
      <c r="D31">
        <v>0.22800000000000001</v>
      </c>
      <c r="E31">
        <v>2.3270935541591501E-3</v>
      </c>
      <c r="F31" t="s">
        <v>2521</v>
      </c>
      <c r="G31" t="s">
        <v>2522</v>
      </c>
      <c r="H31" t="s">
        <v>2521</v>
      </c>
      <c r="I31" t="str">
        <f>HYPERLINK("https://zfin.org/ZDB-GENE-040912-148")</f>
        <v>https://zfin.org/ZDB-GENE-040912-148</v>
      </c>
      <c r="J31" t="s">
        <v>2520</v>
      </c>
    </row>
    <row r="32" spans="1:10" x14ac:dyDescent="0.2">
      <c r="A32">
        <v>1.6850257727132499E-7</v>
      </c>
      <c r="B32">
        <v>0.81326857990507595</v>
      </c>
      <c r="C32">
        <v>0.86199999999999999</v>
      </c>
      <c r="D32">
        <v>0.79700000000000004</v>
      </c>
      <c r="E32">
        <v>2.6089254038919301E-3</v>
      </c>
      <c r="F32" t="s">
        <v>34</v>
      </c>
      <c r="G32" t="s">
        <v>35</v>
      </c>
      <c r="H32" t="s">
        <v>34</v>
      </c>
      <c r="I32" t="str">
        <f>HYPERLINK("https://zfin.org/ZDB-GENE-030131-3532")</f>
        <v>https://zfin.org/ZDB-GENE-030131-3532</v>
      </c>
      <c r="J32" t="s">
        <v>36</v>
      </c>
    </row>
    <row r="33" spans="1:10" x14ac:dyDescent="0.2">
      <c r="A33">
        <v>1.94052417451214E-7</v>
      </c>
      <c r="B33">
        <v>0.62622480519063894</v>
      </c>
      <c r="C33">
        <v>0.93600000000000005</v>
      </c>
      <c r="D33">
        <v>0.84799999999999998</v>
      </c>
      <c r="E33">
        <v>3.0045135793971499E-3</v>
      </c>
      <c r="F33" t="s">
        <v>40</v>
      </c>
      <c r="G33" t="s">
        <v>41</v>
      </c>
      <c r="H33" t="s">
        <v>40</v>
      </c>
      <c r="I33" t="str">
        <f>HYPERLINK("https://zfin.org/ZDB-GENE-030131-1819")</f>
        <v>https://zfin.org/ZDB-GENE-030131-1819</v>
      </c>
      <c r="J33" t="s">
        <v>42</v>
      </c>
    </row>
    <row r="34" spans="1:10" x14ac:dyDescent="0.2">
      <c r="A34">
        <v>2.7618600389809299E-7</v>
      </c>
      <c r="B34">
        <v>0.81667614033872604</v>
      </c>
      <c r="C34">
        <v>0.67</v>
      </c>
      <c r="D34">
        <v>0.34200000000000003</v>
      </c>
      <c r="E34">
        <v>4.2761878983541696E-3</v>
      </c>
      <c r="F34" t="s">
        <v>225</v>
      </c>
      <c r="G34" t="s">
        <v>226</v>
      </c>
      <c r="H34" t="s">
        <v>225</v>
      </c>
      <c r="I34" t="str">
        <f>HYPERLINK("https://zfin.org/ZDB-GENE-000208-17")</f>
        <v>https://zfin.org/ZDB-GENE-000208-17</v>
      </c>
      <c r="J34" t="s">
        <v>227</v>
      </c>
    </row>
    <row r="35" spans="1:10" x14ac:dyDescent="0.2">
      <c r="A35">
        <v>4.9122240542187896E-7</v>
      </c>
      <c r="B35">
        <v>0.87366185522877005</v>
      </c>
      <c r="C35">
        <v>0.628</v>
      </c>
      <c r="D35">
        <v>0.316</v>
      </c>
      <c r="E35">
        <v>7.6055965031469599E-3</v>
      </c>
      <c r="F35" t="s">
        <v>1274</v>
      </c>
      <c r="G35" t="s">
        <v>1275</v>
      </c>
      <c r="H35" t="s">
        <v>1274</v>
      </c>
      <c r="I35" t="str">
        <f>HYPERLINK("https://zfin.org/ZDB-GENE-031016-2")</f>
        <v>https://zfin.org/ZDB-GENE-031016-2</v>
      </c>
      <c r="J35" t="s">
        <v>1273</v>
      </c>
    </row>
    <row r="36" spans="1:10" x14ac:dyDescent="0.2">
      <c r="A36">
        <v>5.4967871500104003E-7</v>
      </c>
      <c r="B36">
        <v>0.586543131508237</v>
      </c>
      <c r="C36">
        <v>0.51100000000000001</v>
      </c>
      <c r="D36">
        <v>0.13900000000000001</v>
      </c>
      <c r="E36">
        <v>8.5106755443611001E-3</v>
      </c>
      <c r="F36" t="s">
        <v>2479</v>
      </c>
      <c r="G36" t="s">
        <v>2480</v>
      </c>
      <c r="H36" t="s">
        <v>2479</v>
      </c>
      <c r="I36" t="str">
        <f>HYPERLINK("https://zfin.org/ZDB-GENE-050417-307")</f>
        <v>https://zfin.org/ZDB-GENE-050417-307</v>
      </c>
      <c r="J36" t="s">
        <v>2478</v>
      </c>
    </row>
    <row r="37" spans="1:10" x14ac:dyDescent="0.2">
      <c r="A37">
        <v>5.64853116102854E-7</v>
      </c>
      <c r="B37">
        <v>0.61544777810731599</v>
      </c>
      <c r="C37">
        <v>0.94699999999999995</v>
      </c>
      <c r="D37">
        <v>0.86099999999999999</v>
      </c>
      <c r="E37">
        <v>8.7456207966204891E-3</v>
      </c>
      <c r="F37" t="s">
        <v>2652</v>
      </c>
      <c r="G37" t="s">
        <v>2653</v>
      </c>
      <c r="H37" t="s">
        <v>2652</v>
      </c>
      <c r="I37" t="str">
        <f>HYPERLINK("https://zfin.org/ZDB-GENE-141216-84")</f>
        <v>https://zfin.org/ZDB-GENE-141216-84</v>
      </c>
      <c r="J37" t="s">
        <v>2651</v>
      </c>
    </row>
    <row r="38" spans="1:10" x14ac:dyDescent="0.2">
      <c r="A38">
        <v>6.7586192780433997E-7</v>
      </c>
      <c r="B38">
        <v>0.93667315848980304</v>
      </c>
      <c r="C38">
        <v>0.40400000000000003</v>
      </c>
      <c r="D38">
        <v>8.8999999999999996E-2</v>
      </c>
      <c r="E38">
        <v>1.0464370228194599E-2</v>
      </c>
      <c r="F38" t="s">
        <v>2649</v>
      </c>
      <c r="G38" t="s">
        <v>2650</v>
      </c>
      <c r="H38" t="s">
        <v>2649</v>
      </c>
      <c r="I38" t="str">
        <f>HYPERLINK("https://zfin.org/ZDB-GENE-040426-2517")</f>
        <v>https://zfin.org/ZDB-GENE-040426-2517</v>
      </c>
      <c r="J38" t="s">
        <v>2648</v>
      </c>
    </row>
    <row r="39" spans="1:10" x14ac:dyDescent="0.2">
      <c r="A39">
        <v>7.6454708274136003E-7</v>
      </c>
      <c r="B39">
        <v>0.76165441945517898</v>
      </c>
      <c r="C39">
        <v>0.34</v>
      </c>
      <c r="D39">
        <v>3.7999999999999999E-2</v>
      </c>
      <c r="E39">
        <v>1.1837482482084501E-2</v>
      </c>
      <c r="F39" t="s">
        <v>2584</v>
      </c>
      <c r="G39" t="s">
        <v>2585</v>
      </c>
      <c r="H39" t="s">
        <v>2584</v>
      </c>
      <c r="I39" t="str">
        <f>HYPERLINK("https://zfin.org/ZDB-GENE-040704-33")</f>
        <v>https://zfin.org/ZDB-GENE-040704-33</v>
      </c>
      <c r="J39" t="s">
        <v>2583</v>
      </c>
    </row>
    <row r="40" spans="1:10" x14ac:dyDescent="0.2">
      <c r="A40">
        <v>1.04521375849854E-6</v>
      </c>
      <c r="B40">
        <v>0.64438252249383698</v>
      </c>
      <c r="C40">
        <v>0.61699999999999999</v>
      </c>
      <c r="D40">
        <v>0.24099999999999999</v>
      </c>
      <c r="E40">
        <v>1.61830446228328E-2</v>
      </c>
      <c r="F40" t="s">
        <v>2491</v>
      </c>
      <c r="G40" t="s">
        <v>2492</v>
      </c>
      <c r="H40" t="s">
        <v>2491</v>
      </c>
      <c r="I40" t="str">
        <f>HYPERLINK("https://zfin.org/ZDB-GENE-000511-2")</f>
        <v>https://zfin.org/ZDB-GENE-000511-2</v>
      </c>
      <c r="J40" t="s">
        <v>2490</v>
      </c>
    </row>
    <row r="41" spans="1:10" x14ac:dyDescent="0.2">
      <c r="A41">
        <v>1.4831966555686701E-6</v>
      </c>
      <c r="B41">
        <v>0.77804056534024102</v>
      </c>
      <c r="C41">
        <v>0.48899999999999999</v>
      </c>
      <c r="D41">
        <v>0.17699999999999999</v>
      </c>
      <c r="E41">
        <v>2.2964333818169699E-2</v>
      </c>
      <c r="F41" t="s">
        <v>1566</v>
      </c>
      <c r="G41" t="s">
        <v>1567</v>
      </c>
      <c r="H41" t="s">
        <v>1566</v>
      </c>
      <c r="I41" t="str">
        <f>HYPERLINK("https://zfin.org/ZDB-GENE-010412-1")</f>
        <v>https://zfin.org/ZDB-GENE-010412-1</v>
      </c>
      <c r="J41" t="s">
        <v>1565</v>
      </c>
    </row>
    <row r="42" spans="1:10" x14ac:dyDescent="0.2">
      <c r="A42">
        <v>1.55121867093261E-6</v>
      </c>
      <c r="B42">
        <v>0.800805946532961</v>
      </c>
      <c r="C42">
        <v>0.54300000000000004</v>
      </c>
      <c r="D42">
        <v>0.19</v>
      </c>
      <c r="E42">
        <v>2.4017518682049498E-2</v>
      </c>
      <c r="F42" t="s">
        <v>2646</v>
      </c>
      <c r="G42" t="s">
        <v>2647</v>
      </c>
      <c r="H42" t="s">
        <v>2646</v>
      </c>
      <c r="I42" t="str">
        <f>HYPERLINK("https://zfin.org/ZDB-GENE-070112-2272")</f>
        <v>https://zfin.org/ZDB-GENE-070112-2272</v>
      </c>
      <c r="J42" t="s">
        <v>2645</v>
      </c>
    </row>
    <row r="43" spans="1:10" x14ac:dyDescent="0.2">
      <c r="A43">
        <v>1.6568555955178799E-6</v>
      </c>
      <c r="B43">
        <v>0.88990063992429502</v>
      </c>
      <c r="C43">
        <v>0.52100000000000002</v>
      </c>
      <c r="D43">
        <v>0.19</v>
      </c>
      <c r="E43">
        <v>2.5653095185403301E-2</v>
      </c>
      <c r="F43" t="s">
        <v>2515</v>
      </c>
      <c r="G43" t="s">
        <v>2516</v>
      </c>
      <c r="H43" t="s">
        <v>2515</v>
      </c>
      <c r="I43" t="str">
        <f>HYPERLINK("https://zfin.org/ZDB-GENE-030521-10")</f>
        <v>https://zfin.org/ZDB-GENE-030521-10</v>
      </c>
      <c r="J43" t="s">
        <v>2514</v>
      </c>
    </row>
    <row r="44" spans="1:10" x14ac:dyDescent="0.2">
      <c r="A44">
        <v>2.1609359640509901E-6</v>
      </c>
      <c r="B44">
        <v>0.716834557300293</v>
      </c>
      <c r="C44">
        <v>0.39400000000000002</v>
      </c>
      <c r="D44">
        <v>8.8999999999999996E-2</v>
      </c>
      <c r="E44">
        <v>3.3457771531401399E-2</v>
      </c>
      <c r="F44" t="s">
        <v>2461</v>
      </c>
      <c r="G44" t="s">
        <v>2462</v>
      </c>
      <c r="H44" t="s">
        <v>2461</v>
      </c>
      <c r="I44" t="str">
        <f>HYPERLINK("https://zfin.org/ZDB-GENE-080829-3")</f>
        <v>https://zfin.org/ZDB-GENE-080829-3</v>
      </c>
      <c r="J44" t="s">
        <v>2460</v>
      </c>
    </row>
    <row r="45" spans="1:10" x14ac:dyDescent="0.2">
      <c r="A45">
        <v>2.4000224607112299E-6</v>
      </c>
      <c r="B45">
        <v>0.79304346036453</v>
      </c>
      <c r="C45">
        <v>0.52100000000000002</v>
      </c>
      <c r="D45">
        <v>0.17699999999999999</v>
      </c>
      <c r="E45">
        <v>3.7159547759192002E-2</v>
      </c>
      <c r="F45" t="s">
        <v>1178</v>
      </c>
      <c r="G45" t="s">
        <v>1179</v>
      </c>
      <c r="H45" t="s">
        <v>1178</v>
      </c>
      <c r="I45" t="str">
        <f>HYPERLINK("https://zfin.org/ZDB-GENE-040426-1877")</f>
        <v>https://zfin.org/ZDB-GENE-040426-1877</v>
      </c>
      <c r="J45" t="s">
        <v>1177</v>
      </c>
    </row>
    <row r="46" spans="1:10" x14ac:dyDescent="0.2">
      <c r="A46">
        <v>2.5755546417641199E-6</v>
      </c>
      <c r="B46">
        <v>0.91729799301568804</v>
      </c>
      <c r="C46">
        <v>0.63800000000000001</v>
      </c>
      <c r="D46">
        <v>0.32900000000000001</v>
      </c>
      <c r="E46">
        <v>3.9877312518433801E-2</v>
      </c>
      <c r="F46" t="s">
        <v>1476</v>
      </c>
      <c r="G46" t="s">
        <v>1477</v>
      </c>
      <c r="H46" t="s">
        <v>1476</v>
      </c>
      <c r="I46" t="str">
        <f>HYPERLINK("https://zfin.org/ZDB-GENE-000619-1")</f>
        <v>https://zfin.org/ZDB-GENE-000619-1</v>
      </c>
      <c r="J46" t="s">
        <v>1475</v>
      </c>
    </row>
    <row r="47" spans="1:10" x14ac:dyDescent="0.2">
      <c r="A47">
        <v>4.02892118461843E-6</v>
      </c>
      <c r="B47">
        <v>0.62000181182157799</v>
      </c>
      <c r="C47">
        <v>0.41499999999999998</v>
      </c>
      <c r="D47">
        <v>0.10100000000000001</v>
      </c>
      <c r="E47">
        <v>6.2379786701447101E-2</v>
      </c>
      <c r="F47" t="s">
        <v>2554</v>
      </c>
      <c r="G47" t="s">
        <v>2555</v>
      </c>
      <c r="H47" t="s">
        <v>2554</v>
      </c>
      <c r="I47" t="str">
        <f>HYPERLINK("https://zfin.org/ZDB-GENE-040420-1")</f>
        <v>https://zfin.org/ZDB-GENE-040420-1</v>
      </c>
      <c r="J47" t="s">
        <v>2553</v>
      </c>
    </row>
    <row r="48" spans="1:10" x14ac:dyDescent="0.2">
      <c r="A48">
        <v>4.5282508563596501E-6</v>
      </c>
      <c r="B48">
        <v>0.84105868656770399</v>
      </c>
      <c r="C48">
        <v>0.58499999999999996</v>
      </c>
      <c r="D48">
        <v>0.29099999999999998</v>
      </c>
      <c r="E48">
        <v>7.0110908009016398E-2</v>
      </c>
      <c r="F48" t="s">
        <v>1295</v>
      </c>
      <c r="G48" t="s">
        <v>1296</v>
      </c>
      <c r="H48" t="s">
        <v>1295</v>
      </c>
      <c r="I48" t="str">
        <f>HYPERLINK("https://zfin.org/ZDB-GENE-011212-6")</f>
        <v>https://zfin.org/ZDB-GENE-011212-6</v>
      </c>
      <c r="J48" t="s">
        <v>1294</v>
      </c>
    </row>
    <row r="49" spans="1:10" x14ac:dyDescent="0.2">
      <c r="A49">
        <v>4.9697916519578898E-6</v>
      </c>
      <c r="B49">
        <v>0.55515226197583201</v>
      </c>
      <c r="C49">
        <v>0.26600000000000001</v>
      </c>
      <c r="D49">
        <v>1.2999999999999999E-2</v>
      </c>
      <c r="E49">
        <v>7.6947284147263997E-2</v>
      </c>
      <c r="F49" t="s">
        <v>2539</v>
      </c>
      <c r="G49" t="s">
        <v>2540</v>
      </c>
      <c r="H49" t="s">
        <v>2539</v>
      </c>
      <c r="I49" t="str">
        <f>HYPERLINK("https://zfin.org/ZDB-GENE-070912-286")</f>
        <v>https://zfin.org/ZDB-GENE-070912-286</v>
      </c>
      <c r="J49" t="s">
        <v>2538</v>
      </c>
    </row>
    <row r="50" spans="1:10" x14ac:dyDescent="0.2">
      <c r="A50">
        <v>5.2134495740270097E-6</v>
      </c>
      <c r="B50">
        <v>0.86497529308030296</v>
      </c>
      <c r="C50">
        <v>0.80900000000000005</v>
      </c>
      <c r="D50">
        <v>0.68400000000000005</v>
      </c>
      <c r="E50">
        <v>8.07198397546601E-2</v>
      </c>
      <c r="F50" t="s">
        <v>100</v>
      </c>
      <c r="G50" t="s">
        <v>101</v>
      </c>
      <c r="H50" t="s">
        <v>100</v>
      </c>
      <c r="I50" t="str">
        <f>HYPERLINK("https://zfin.org/ZDB-GENE-030131-12")</f>
        <v>https://zfin.org/ZDB-GENE-030131-12</v>
      </c>
      <c r="J50" t="s">
        <v>102</v>
      </c>
    </row>
    <row r="51" spans="1:10" x14ac:dyDescent="0.2">
      <c r="A51">
        <v>5.6338392833953904E-6</v>
      </c>
      <c r="B51">
        <v>0.53168925432686698</v>
      </c>
      <c r="C51">
        <v>0.88300000000000001</v>
      </c>
      <c r="D51">
        <v>0.70899999999999996</v>
      </c>
      <c r="E51">
        <v>8.72287336248109E-2</v>
      </c>
      <c r="F51" t="s">
        <v>2303</v>
      </c>
      <c r="G51" t="s">
        <v>2304</v>
      </c>
      <c r="H51" t="s">
        <v>2303</v>
      </c>
      <c r="I51" t="str">
        <f>HYPERLINK("https://zfin.org/ZDB-GENE-031006-14")</f>
        <v>https://zfin.org/ZDB-GENE-031006-14</v>
      </c>
      <c r="J51" t="s">
        <v>2302</v>
      </c>
    </row>
    <row r="52" spans="1:10" x14ac:dyDescent="0.2">
      <c r="A52">
        <v>6.3973164749981097E-6</v>
      </c>
      <c r="B52">
        <v>0.50970233090434303</v>
      </c>
      <c r="C52">
        <v>0.255</v>
      </c>
      <c r="D52">
        <v>1.2999999999999999E-2</v>
      </c>
      <c r="E52">
        <v>9.9049650982395807E-2</v>
      </c>
      <c r="F52" t="s">
        <v>1728</v>
      </c>
      <c r="G52" t="s">
        <v>1729</v>
      </c>
      <c r="H52" t="s">
        <v>1728</v>
      </c>
      <c r="I52" t="str">
        <f>HYPERLINK("https://zfin.org/ZDB-GENE-070822-16")</f>
        <v>https://zfin.org/ZDB-GENE-070822-16</v>
      </c>
      <c r="J52" t="s">
        <v>1727</v>
      </c>
    </row>
    <row r="53" spans="1:10" x14ac:dyDescent="0.2">
      <c r="A53">
        <v>6.4272282088450499E-6</v>
      </c>
      <c r="B53">
        <v>0.37707121510511399</v>
      </c>
      <c r="C53">
        <v>0.97899999999999998</v>
      </c>
      <c r="D53">
        <v>0.96199999999999997</v>
      </c>
      <c r="E53">
        <v>9.9512774357547906E-2</v>
      </c>
      <c r="F53" t="s">
        <v>2103</v>
      </c>
      <c r="G53" t="s">
        <v>2104</v>
      </c>
      <c r="H53" t="s">
        <v>2103</v>
      </c>
      <c r="I53" t="str">
        <f>HYPERLINK("https://zfin.org/ZDB-GENE-051120-126")</f>
        <v>https://zfin.org/ZDB-GENE-051120-126</v>
      </c>
      <c r="J53" t="s">
        <v>2102</v>
      </c>
    </row>
    <row r="54" spans="1:10" x14ac:dyDescent="0.2">
      <c r="A54">
        <v>9.1239778314103696E-6</v>
      </c>
      <c r="B54">
        <v>0.84736455903766905</v>
      </c>
      <c r="C54">
        <v>0.56399999999999995</v>
      </c>
      <c r="D54">
        <v>0.27800000000000002</v>
      </c>
      <c r="E54">
        <v>0.14126654876372699</v>
      </c>
      <c r="F54" t="s">
        <v>1328</v>
      </c>
      <c r="G54" t="s">
        <v>1329</v>
      </c>
      <c r="H54" t="s">
        <v>1328</v>
      </c>
      <c r="I54" t="str">
        <f>HYPERLINK("https://zfin.org/ZDB-GENE-070424-30")</f>
        <v>https://zfin.org/ZDB-GENE-070424-30</v>
      </c>
      <c r="J54" t="s">
        <v>1327</v>
      </c>
    </row>
    <row r="55" spans="1:10" x14ac:dyDescent="0.2">
      <c r="A55">
        <v>1.1656252120766599E-5</v>
      </c>
      <c r="B55">
        <v>0.78149655481844704</v>
      </c>
      <c r="C55">
        <v>0.56399999999999995</v>
      </c>
      <c r="D55">
        <v>0.24099999999999999</v>
      </c>
      <c r="E55">
        <v>0.18047375158583001</v>
      </c>
      <c r="F55" t="s">
        <v>2260</v>
      </c>
      <c r="G55" t="s">
        <v>2261</v>
      </c>
      <c r="H55" t="s">
        <v>2260</v>
      </c>
      <c r="I55" t="str">
        <f>HYPERLINK("https://zfin.org/ZDB-GENE-040801-112")</f>
        <v>https://zfin.org/ZDB-GENE-040801-112</v>
      </c>
      <c r="J55" t="s">
        <v>2259</v>
      </c>
    </row>
    <row r="56" spans="1:10" x14ac:dyDescent="0.2">
      <c r="A56">
        <v>1.5793132638693898E-5</v>
      </c>
      <c r="B56">
        <v>0.610246672461355</v>
      </c>
      <c r="C56">
        <v>0.86199999999999999</v>
      </c>
      <c r="D56">
        <v>0.78500000000000003</v>
      </c>
      <c r="E56">
        <v>0.24452507264489801</v>
      </c>
      <c r="F56" t="s">
        <v>1406</v>
      </c>
      <c r="G56" t="s">
        <v>1407</v>
      </c>
      <c r="H56" t="s">
        <v>1406</v>
      </c>
      <c r="I56" t="str">
        <f>HYPERLINK("https://zfin.org/ZDB-GENE-030131-7647")</f>
        <v>https://zfin.org/ZDB-GENE-030131-7647</v>
      </c>
      <c r="J56" t="s">
        <v>1405</v>
      </c>
    </row>
    <row r="57" spans="1:10" x14ac:dyDescent="0.2">
      <c r="A57">
        <v>1.7578824380670499E-5</v>
      </c>
      <c r="B57">
        <v>0.44739779932610502</v>
      </c>
      <c r="C57">
        <v>0.28699999999999998</v>
      </c>
      <c r="D57">
        <v>3.7999999999999999E-2</v>
      </c>
      <c r="E57">
        <v>0.27217293788592101</v>
      </c>
      <c r="F57" t="s">
        <v>2643</v>
      </c>
      <c r="G57" t="s">
        <v>2644</v>
      </c>
      <c r="H57" t="s">
        <v>2643</v>
      </c>
      <c r="I57" t="str">
        <f>HYPERLINK("https://zfin.org/ZDB-GENE-040801-121")</f>
        <v>https://zfin.org/ZDB-GENE-040801-121</v>
      </c>
      <c r="J57" t="s">
        <v>2642</v>
      </c>
    </row>
    <row r="58" spans="1:10" x14ac:dyDescent="0.2">
      <c r="A58">
        <v>1.79818617926462E-5</v>
      </c>
      <c r="B58">
        <v>0.67545220345843704</v>
      </c>
      <c r="C58">
        <v>0.54300000000000004</v>
      </c>
      <c r="D58">
        <v>0.26600000000000001</v>
      </c>
      <c r="E58">
        <v>0.27841316613554201</v>
      </c>
      <c r="F58" t="s">
        <v>727</v>
      </c>
      <c r="G58" t="s">
        <v>728</v>
      </c>
      <c r="H58" t="s">
        <v>727</v>
      </c>
      <c r="I58" t="str">
        <f>HYPERLINK("https://zfin.org/ZDB-GENE-030131-8541")</f>
        <v>https://zfin.org/ZDB-GENE-030131-8541</v>
      </c>
      <c r="J58" t="s">
        <v>726</v>
      </c>
    </row>
    <row r="59" spans="1:10" x14ac:dyDescent="0.2">
      <c r="A59">
        <v>1.8391550838840799E-5</v>
      </c>
      <c r="B59">
        <v>0.445773350643134</v>
      </c>
      <c r="C59">
        <v>0.88300000000000001</v>
      </c>
      <c r="D59">
        <v>0.82299999999999995</v>
      </c>
      <c r="E59">
        <v>0.284756381637772</v>
      </c>
      <c r="F59" t="s">
        <v>2640</v>
      </c>
      <c r="G59" t="s">
        <v>2641</v>
      </c>
      <c r="H59" t="s">
        <v>2640</v>
      </c>
      <c r="I59" t="str">
        <f>HYPERLINK("https://zfin.org/ZDB-GENE-061215-23")</f>
        <v>https://zfin.org/ZDB-GENE-061215-23</v>
      </c>
      <c r="J59" t="s">
        <v>2639</v>
      </c>
    </row>
    <row r="60" spans="1:10" x14ac:dyDescent="0.2">
      <c r="A60">
        <v>1.8671165298397499E-5</v>
      </c>
      <c r="B60">
        <v>0.63808462882597805</v>
      </c>
      <c r="C60">
        <v>0.34</v>
      </c>
      <c r="D60">
        <v>7.5999999999999998E-2</v>
      </c>
      <c r="E60">
        <v>0.28908565231508798</v>
      </c>
      <c r="F60" t="s">
        <v>2637</v>
      </c>
      <c r="G60" t="s">
        <v>2638</v>
      </c>
      <c r="H60" t="s">
        <v>2637</v>
      </c>
      <c r="I60" t="str">
        <f>HYPERLINK("https://zfin.org/ZDB-GENE-041010-30")</f>
        <v>https://zfin.org/ZDB-GENE-041010-30</v>
      </c>
      <c r="J60" t="s">
        <v>2636</v>
      </c>
    </row>
    <row r="61" spans="1:10" x14ac:dyDescent="0.2">
      <c r="A61">
        <v>2.0406007994534201E-5</v>
      </c>
      <c r="B61">
        <v>0.59378989555594597</v>
      </c>
      <c r="C61">
        <v>0.64900000000000002</v>
      </c>
      <c r="D61">
        <v>0.34200000000000003</v>
      </c>
      <c r="E61">
        <v>0.31594622177937298</v>
      </c>
      <c r="F61" t="s">
        <v>2214</v>
      </c>
      <c r="G61" t="s">
        <v>2215</v>
      </c>
      <c r="H61" t="s">
        <v>2214</v>
      </c>
      <c r="I61" t="str">
        <f>HYPERLINK("https://zfin.org/ZDB-GENE-030131-5366")</f>
        <v>https://zfin.org/ZDB-GENE-030131-5366</v>
      </c>
      <c r="J61" t="s">
        <v>2213</v>
      </c>
    </row>
    <row r="62" spans="1:10" x14ac:dyDescent="0.2">
      <c r="A62">
        <v>2.1499361634431699E-5</v>
      </c>
      <c r="B62">
        <v>0.67984142155420701</v>
      </c>
      <c r="C62">
        <v>0.69099999999999995</v>
      </c>
      <c r="D62">
        <v>0.45600000000000002</v>
      </c>
      <c r="E62">
        <v>0.33287461618590602</v>
      </c>
      <c r="F62" t="s">
        <v>2634</v>
      </c>
      <c r="G62" t="s">
        <v>2635</v>
      </c>
      <c r="H62" t="s">
        <v>2634</v>
      </c>
      <c r="I62" t="str">
        <f>HYPERLINK("https://zfin.org/ZDB-GENE-001127-3")</f>
        <v>https://zfin.org/ZDB-GENE-001127-3</v>
      </c>
      <c r="J62" t="s">
        <v>2633</v>
      </c>
    </row>
    <row r="63" spans="1:10" x14ac:dyDescent="0.2">
      <c r="A63">
        <v>2.4211797336232201E-5</v>
      </c>
      <c r="B63">
        <v>0.40441525744035201</v>
      </c>
      <c r="C63">
        <v>0.90400000000000003</v>
      </c>
      <c r="D63">
        <v>0.83499999999999996</v>
      </c>
      <c r="E63">
        <v>0.37487125815688199</v>
      </c>
      <c r="F63" t="s">
        <v>198</v>
      </c>
      <c r="G63" t="s">
        <v>199</v>
      </c>
      <c r="H63" t="s">
        <v>198</v>
      </c>
      <c r="I63" t="str">
        <f>HYPERLINK("https://zfin.org/ZDB-GENE-990712-18")</f>
        <v>https://zfin.org/ZDB-GENE-990712-18</v>
      </c>
      <c r="J63" t="s">
        <v>200</v>
      </c>
    </row>
    <row r="64" spans="1:10" x14ac:dyDescent="0.2">
      <c r="A64">
        <v>2.42722339240002E-5</v>
      </c>
      <c r="B64">
        <v>0.65518179352193795</v>
      </c>
      <c r="C64">
        <v>0.38300000000000001</v>
      </c>
      <c r="D64">
        <v>0.114</v>
      </c>
      <c r="E64">
        <v>0.37580699784529398</v>
      </c>
      <c r="F64" t="s">
        <v>2631</v>
      </c>
      <c r="G64" t="s">
        <v>2632</v>
      </c>
      <c r="H64" t="s">
        <v>2631</v>
      </c>
      <c r="I64" t="str">
        <f>HYPERLINK("https://zfin.org/ZDB-GENE-131121-599")</f>
        <v>https://zfin.org/ZDB-GENE-131121-599</v>
      </c>
      <c r="J64" t="s">
        <v>2630</v>
      </c>
    </row>
    <row r="65" spans="1:10" x14ac:dyDescent="0.2">
      <c r="A65">
        <v>2.5141989190155001E-5</v>
      </c>
      <c r="B65">
        <v>0.42960364862308198</v>
      </c>
      <c r="C65">
        <v>0.97899999999999998</v>
      </c>
      <c r="D65">
        <v>0.89900000000000002</v>
      </c>
      <c r="E65">
        <v>0.38927341863116999</v>
      </c>
      <c r="F65" t="s">
        <v>2223</v>
      </c>
      <c r="G65" t="s">
        <v>2224</v>
      </c>
      <c r="H65" t="s">
        <v>2223</v>
      </c>
      <c r="I65" t="str">
        <f>HYPERLINK("https://zfin.org/ZDB-GENE-040912-122")</f>
        <v>https://zfin.org/ZDB-GENE-040912-122</v>
      </c>
      <c r="J65" t="s">
        <v>2222</v>
      </c>
    </row>
    <row r="66" spans="1:10" x14ac:dyDescent="0.2">
      <c r="A66">
        <v>2.8463803236933199E-5</v>
      </c>
      <c r="B66">
        <v>0.607808706210756</v>
      </c>
      <c r="C66">
        <v>0.71299999999999997</v>
      </c>
      <c r="D66">
        <v>0.51900000000000002</v>
      </c>
      <c r="E66">
        <v>0.44070506551743599</v>
      </c>
      <c r="F66" t="s">
        <v>2628</v>
      </c>
      <c r="G66" t="s">
        <v>2629</v>
      </c>
      <c r="H66" t="s">
        <v>2628</v>
      </c>
      <c r="I66" t="str">
        <f>HYPERLINK("https://zfin.org/ZDB-GENE-031002-33")</f>
        <v>https://zfin.org/ZDB-GENE-031002-33</v>
      </c>
      <c r="J66" t="s">
        <v>2627</v>
      </c>
    </row>
    <row r="67" spans="1:10" x14ac:dyDescent="0.2">
      <c r="A67">
        <v>3.23261732881468E-5</v>
      </c>
      <c r="B67">
        <v>0.63217137594737205</v>
      </c>
      <c r="C67">
        <v>0.45700000000000002</v>
      </c>
      <c r="D67">
        <v>0.16500000000000001</v>
      </c>
      <c r="E67">
        <v>0.50050614102037705</v>
      </c>
      <c r="F67" t="s">
        <v>1997</v>
      </c>
      <c r="G67" t="s">
        <v>1998</v>
      </c>
      <c r="H67" t="s">
        <v>1997</v>
      </c>
      <c r="I67" t="str">
        <f>HYPERLINK("https://zfin.org/ZDB-GENE-000607-70")</f>
        <v>https://zfin.org/ZDB-GENE-000607-70</v>
      </c>
      <c r="J67" t="s">
        <v>1996</v>
      </c>
    </row>
    <row r="68" spans="1:10" x14ac:dyDescent="0.2">
      <c r="A68">
        <v>3.2933522190185303E-5</v>
      </c>
      <c r="B68">
        <v>0.45915357717517202</v>
      </c>
      <c r="C68">
        <v>1</v>
      </c>
      <c r="D68">
        <v>0.97499999999999998</v>
      </c>
      <c r="E68">
        <v>0.50990972407063895</v>
      </c>
      <c r="F68" t="s">
        <v>19</v>
      </c>
      <c r="G68" t="s">
        <v>20</v>
      </c>
      <c r="H68" t="s">
        <v>19</v>
      </c>
      <c r="I68" t="str">
        <f>HYPERLINK("https://zfin.org/ZDB-GENE-010328-2")</f>
        <v>https://zfin.org/ZDB-GENE-010328-2</v>
      </c>
      <c r="J68" t="s">
        <v>21</v>
      </c>
    </row>
    <row r="69" spans="1:10" x14ac:dyDescent="0.2">
      <c r="A69">
        <v>3.7309305157538898E-5</v>
      </c>
      <c r="B69">
        <v>0.77357357979214003</v>
      </c>
      <c r="C69">
        <v>0.436</v>
      </c>
      <c r="D69">
        <v>0.17699999999999999</v>
      </c>
      <c r="E69">
        <v>0.57765997175417505</v>
      </c>
      <c r="F69" t="s">
        <v>1229</v>
      </c>
      <c r="G69" t="s">
        <v>1230</v>
      </c>
      <c r="H69" t="s">
        <v>1229</v>
      </c>
      <c r="I69" t="str">
        <f>HYPERLINK("https://zfin.org/ZDB-GENE-040426-1937")</f>
        <v>https://zfin.org/ZDB-GENE-040426-1937</v>
      </c>
      <c r="J69" t="s">
        <v>1228</v>
      </c>
    </row>
    <row r="70" spans="1:10" x14ac:dyDescent="0.2">
      <c r="A70">
        <v>4.0118546992928597E-5</v>
      </c>
      <c r="B70">
        <v>0.70404759824236995</v>
      </c>
      <c r="C70">
        <v>0.53200000000000003</v>
      </c>
      <c r="D70">
        <v>0.253</v>
      </c>
      <c r="E70">
        <v>0.62115546309151404</v>
      </c>
      <c r="F70" t="s">
        <v>1202</v>
      </c>
      <c r="G70" t="s">
        <v>1203</v>
      </c>
      <c r="H70" t="s">
        <v>1202</v>
      </c>
      <c r="I70" t="str">
        <f>HYPERLINK("https://zfin.org/ZDB-GENE-030911-2")</f>
        <v>https://zfin.org/ZDB-GENE-030911-2</v>
      </c>
      <c r="J70" t="s">
        <v>1201</v>
      </c>
    </row>
    <row r="71" spans="1:10" x14ac:dyDescent="0.2">
      <c r="A71">
        <v>4.9131275648099602E-5</v>
      </c>
      <c r="B71">
        <v>0.59473153770102904</v>
      </c>
      <c r="C71">
        <v>0.42599999999999999</v>
      </c>
      <c r="D71">
        <v>0.152</v>
      </c>
      <c r="E71">
        <v>0.76069954085952596</v>
      </c>
      <c r="F71" t="s">
        <v>2078</v>
      </c>
      <c r="G71" t="s">
        <v>2079</v>
      </c>
      <c r="H71" t="s">
        <v>2078</v>
      </c>
      <c r="I71" t="str">
        <f>HYPERLINK("https://zfin.org/ZDB-GENE-031112-11")</f>
        <v>https://zfin.org/ZDB-GENE-031112-11</v>
      </c>
      <c r="J71" t="s">
        <v>2077</v>
      </c>
    </row>
    <row r="72" spans="1:10" x14ac:dyDescent="0.2">
      <c r="A72">
        <v>5.32410184181359E-5</v>
      </c>
      <c r="B72">
        <v>0.52377705662007601</v>
      </c>
      <c r="C72">
        <v>0.73399999999999999</v>
      </c>
      <c r="D72">
        <v>0.50600000000000001</v>
      </c>
      <c r="E72">
        <v>0.82433068816799804</v>
      </c>
      <c r="F72" t="s">
        <v>2625</v>
      </c>
      <c r="G72" t="s">
        <v>2626</v>
      </c>
      <c r="H72" t="s">
        <v>2625</v>
      </c>
      <c r="I72" t="str">
        <f>HYPERLINK("https://zfin.org/ZDB-GENE-030131-269")</f>
        <v>https://zfin.org/ZDB-GENE-030131-269</v>
      </c>
      <c r="J72" t="s">
        <v>2624</v>
      </c>
    </row>
    <row r="73" spans="1:10" x14ac:dyDescent="0.2">
      <c r="A73">
        <v>6.3374597664245195E-5</v>
      </c>
      <c r="B73">
        <v>0.70647285211962796</v>
      </c>
      <c r="C73">
        <v>0.436</v>
      </c>
      <c r="D73">
        <v>0.20300000000000001</v>
      </c>
      <c r="E73">
        <v>0.98122889563550897</v>
      </c>
      <c r="F73" t="s">
        <v>2622</v>
      </c>
      <c r="G73" t="s">
        <v>2623</v>
      </c>
      <c r="H73" t="s">
        <v>2622</v>
      </c>
      <c r="I73" t="str">
        <f>HYPERLINK("https://zfin.org/ZDB-GENE-030131-8365")</f>
        <v>https://zfin.org/ZDB-GENE-030131-8365</v>
      </c>
      <c r="J73" t="s">
        <v>2621</v>
      </c>
    </row>
    <row r="74" spans="1:10" x14ac:dyDescent="0.2">
      <c r="A74">
        <v>6.6844577960336002E-5</v>
      </c>
      <c r="B74">
        <v>0.42718967270971098</v>
      </c>
      <c r="C74">
        <v>0.76600000000000001</v>
      </c>
      <c r="D74">
        <v>0.54400000000000004</v>
      </c>
      <c r="E74">
        <v>1</v>
      </c>
      <c r="F74" t="s">
        <v>195</v>
      </c>
      <c r="G74" t="s">
        <v>196</v>
      </c>
      <c r="H74" t="s">
        <v>195</v>
      </c>
      <c r="I74" t="str">
        <f>HYPERLINK("https://zfin.org/ZDB-GENE-030131-5493")</f>
        <v>https://zfin.org/ZDB-GENE-030131-5493</v>
      </c>
      <c r="J74" t="s">
        <v>197</v>
      </c>
    </row>
    <row r="75" spans="1:10" x14ac:dyDescent="0.2">
      <c r="A75">
        <v>7.2817452489651899E-5</v>
      </c>
      <c r="B75">
        <v>0.63049619533840395</v>
      </c>
      <c r="C75">
        <v>0.51100000000000001</v>
      </c>
      <c r="D75">
        <v>0.253</v>
      </c>
      <c r="E75">
        <v>1</v>
      </c>
      <c r="F75" t="s">
        <v>2619</v>
      </c>
      <c r="G75" t="s">
        <v>2620</v>
      </c>
      <c r="H75" t="s">
        <v>2619</v>
      </c>
      <c r="I75" t="str">
        <f>HYPERLINK("https://zfin.org/ZDB-GENE-060929-640")</f>
        <v>https://zfin.org/ZDB-GENE-060929-640</v>
      </c>
      <c r="J75" t="s">
        <v>2618</v>
      </c>
    </row>
    <row r="76" spans="1:10" x14ac:dyDescent="0.2">
      <c r="A76">
        <v>7.4005584455783406E-5</v>
      </c>
      <c r="B76">
        <v>0.62950505465508499</v>
      </c>
      <c r="C76">
        <v>0.31900000000000001</v>
      </c>
      <c r="D76">
        <v>8.8999999999999996E-2</v>
      </c>
      <c r="E76">
        <v>1</v>
      </c>
      <c r="F76" t="s">
        <v>2616</v>
      </c>
      <c r="G76" t="s">
        <v>2617</v>
      </c>
      <c r="H76" t="s">
        <v>2616</v>
      </c>
      <c r="I76" t="str">
        <f>HYPERLINK("https://zfin.org/")</f>
        <v>https://zfin.org/</v>
      </c>
    </row>
    <row r="77" spans="1:10" x14ac:dyDescent="0.2">
      <c r="A77">
        <v>8.0303082765244602E-5</v>
      </c>
      <c r="B77">
        <v>0.58736607035198496</v>
      </c>
      <c r="C77">
        <v>0.55300000000000005</v>
      </c>
      <c r="D77">
        <v>0.27800000000000002</v>
      </c>
      <c r="E77">
        <v>1</v>
      </c>
      <c r="F77" t="s">
        <v>1349</v>
      </c>
      <c r="G77" t="s">
        <v>1350</v>
      </c>
      <c r="H77" t="s">
        <v>1349</v>
      </c>
      <c r="I77" t="str">
        <f>HYPERLINK("https://zfin.org/ZDB-GENE-030131-4042")</f>
        <v>https://zfin.org/ZDB-GENE-030131-4042</v>
      </c>
      <c r="J77" t="s">
        <v>1348</v>
      </c>
    </row>
    <row r="78" spans="1:10" x14ac:dyDescent="0.2">
      <c r="A78">
        <v>8.2187662883735198E-5</v>
      </c>
      <c r="B78">
        <v>0.50311821679608104</v>
      </c>
      <c r="C78">
        <v>0.27700000000000002</v>
      </c>
      <c r="D78">
        <v>5.0999999999999997E-2</v>
      </c>
      <c r="E78">
        <v>1</v>
      </c>
      <c r="F78" t="s">
        <v>2614</v>
      </c>
      <c r="G78" t="s">
        <v>2615</v>
      </c>
      <c r="H78" t="s">
        <v>2614</v>
      </c>
      <c r="I78" t="str">
        <f>HYPERLINK("https://zfin.org/ZDB-GENE-081107-5")</f>
        <v>https://zfin.org/ZDB-GENE-081107-5</v>
      </c>
      <c r="J78" t="s">
        <v>2613</v>
      </c>
    </row>
    <row r="79" spans="1:10" x14ac:dyDescent="0.2">
      <c r="A79">
        <v>9.4561084702641404E-5</v>
      </c>
      <c r="B79">
        <v>0.53776901094625096</v>
      </c>
      <c r="C79">
        <v>0.69099999999999995</v>
      </c>
      <c r="D79">
        <v>0.38</v>
      </c>
      <c r="E79">
        <v>1</v>
      </c>
      <c r="F79" t="s">
        <v>2229</v>
      </c>
      <c r="G79" t="s">
        <v>2230</v>
      </c>
      <c r="H79" t="s">
        <v>2229</v>
      </c>
      <c r="I79" t="str">
        <f>HYPERLINK("https://zfin.org/ZDB-GENE-141212-376")</f>
        <v>https://zfin.org/ZDB-GENE-141212-376</v>
      </c>
      <c r="J79" t="s">
        <v>2228</v>
      </c>
    </row>
    <row r="80" spans="1:10" x14ac:dyDescent="0.2">
      <c r="A80">
        <v>1.01537791425147E-4</v>
      </c>
      <c r="B80">
        <v>0.54537771944223201</v>
      </c>
      <c r="C80">
        <v>0.42599999999999999</v>
      </c>
      <c r="D80">
        <v>0.152</v>
      </c>
      <c r="E80">
        <v>1</v>
      </c>
      <c r="F80" t="s">
        <v>2611</v>
      </c>
      <c r="G80" t="s">
        <v>2612</v>
      </c>
      <c r="H80" t="s">
        <v>2611</v>
      </c>
      <c r="I80" t="str">
        <f>HYPERLINK("https://zfin.org/ZDB-GENE-030131-9907")</f>
        <v>https://zfin.org/ZDB-GENE-030131-9907</v>
      </c>
      <c r="J80" t="s">
        <v>2610</v>
      </c>
    </row>
    <row r="81" spans="1:10" x14ac:dyDescent="0.2">
      <c r="A81">
        <v>1.028349858388E-4</v>
      </c>
      <c r="B81">
        <v>0.41132959799074897</v>
      </c>
      <c r="C81">
        <v>0.223</v>
      </c>
      <c r="D81">
        <v>2.5000000000000001E-2</v>
      </c>
      <c r="E81">
        <v>1</v>
      </c>
      <c r="F81" t="s">
        <v>2608</v>
      </c>
      <c r="G81" t="s">
        <v>2609</v>
      </c>
      <c r="H81" t="s">
        <v>2608</v>
      </c>
      <c r="I81" t="str">
        <f>HYPERLINK("https://zfin.org/ZDB-GENE-030131-2144")</f>
        <v>https://zfin.org/ZDB-GENE-030131-2144</v>
      </c>
      <c r="J81" t="s">
        <v>2607</v>
      </c>
    </row>
    <row r="82" spans="1:10" x14ac:dyDescent="0.2">
      <c r="A82">
        <v>1.0472608095906701E-4</v>
      </c>
      <c r="B82">
        <v>0.53636578253045797</v>
      </c>
      <c r="C82">
        <v>0.42599999999999999</v>
      </c>
      <c r="D82">
        <v>0.152</v>
      </c>
      <c r="E82">
        <v>1</v>
      </c>
      <c r="F82" t="s">
        <v>2202</v>
      </c>
      <c r="G82" t="s">
        <v>2203</v>
      </c>
      <c r="H82" t="s">
        <v>2202</v>
      </c>
      <c r="I82" t="str">
        <f>HYPERLINK("https://zfin.org/ZDB-GENE-050506-59")</f>
        <v>https://zfin.org/ZDB-GENE-050506-59</v>
      </c>
      <c r="J82" t="s">
        <v>2201</v>
      </c>
    </row>
    <row r="83" spans="1:10" x14ac:dyDescent="0.2">
      <c r="A83">
        <v>1.04808670089175E-4</v>
      </c>
      <c r="B83">
        <v>0.57862561169804105</v>
      </c>
      <c r="C83">
        <v>0.88300000000000001</v>
      </c>
      <c r="D83">
        <v>0.72199999999999998</v>
      </c>
      <c r="E83">
        <v>1</v>
      </c>
      <c r="F83" t="s">
        <v>76</v>
      </c>
      <c r="G83" t="s">
        <v>77</v>
      </c>
      <c r="H83" t="s">
        <v>76</v>
      </c>
      <c r="I83" t="str">
        <f>HYPERLINK("https://zfin.org/ZDB-GENE-031001-11")</f>
        <v>https://zfin.org/ZDB-GENE-031001-11</v>
      </c>
      <c r="J83" t="s">
        <v>78</v>
      </c>
    </row>
    <row r="84" spans="1:10" x14ac:dyDescent="0.2">
      <c r="A84">
        <v>1.15092369943231E-4</v>
      </c>
      <c r="B84">
        <v>0.55622617162875698</v>
      </c>
      <c r="C84">
        <v>0.309</v>
      </c>
      <c r="D84">
        <v>7.5999999999999998E-2</v>
      </c>
      <c r="E84">
        <v>1</v>
      </c>
      <c r="F84" t="s">
        <v>2605</v>
      </c>
      <c r="G84" t="s">
        <v>2606</v>
      </c>
      <c r="H84" t="s">
        <v>2605</v>
      </c>
      <c r="I84" t="str">
        <f>HYPERLINK("https://zfin.org/ZDB-GENE-030131-5870")</f>
        <v>https://zfin.org/ZDB-GENE-030131-5870</v>
      </c>
      <c r="J84" t="s">
        <v>2604</v>
      </c>
    </row>
    <row r="85" spans="1:10" x14ac:dyDescent="0.2">
      <c r="A85">
        <v>1.17513325002939E-4</v>
      </c>
      <c r="B85">
        <v>0.49322820773099302</v>
      </c>
      <c r="C85">
        <v>0.34</v>
      </c>
      <c r="D85">
        <v>0.10100000000000001</v>
      </c>
      <c r="E85">
        <v>1</v>
      </c>
      <c r="F85" t="s">
        <v>2602</v>
      </c>
      <c r="G85" t="s">
        <v>2603</v>
      </c>
      <c r="H85" t="s">
        <v>2602</v>
      </c>
      <c r="I85" t="str">
        <f>HYPERLINK("https://zfin.org/ZDB-GENE-031113-1")</f>
        <v>https://zfin.org/ZDB-GENE-031113-1</v>
      </c>
      <c r="J85" t="s">
        <v>2601</v>
      </c>
    </row>
    <row r="86" spans="1:10" x14ac:dyDescent="0.2">
      <c r="A86">
        <v>1.2030766002147299E-4</v>
      </c>
      <c r="B86">
        <v>0.56530881205349803</v>
      </c>
      <c r="C86">
        <v>0.26600000000000001</v>
      </c>
      <c r="D86">
        <v>5.0999999999999997E-2</v>
      </c>
      <c r="E86">
        <v>1</v>
      </c>
      <c r="F86" t="s">
        <v>2599</v>
      </c>
      <c r="G86" t="s">
        <v>2600</v>
      </c>
      <c r="H86" t="s">
        <v>2599</v>
      </c>
      <c r="I86" t="str">
        <f>HYPERLINK("https://zfin.org/ZDB-GENE-070501-2")</f>
        <v>https://zfin.org/ZDB-GENE-070501-2</v>
      </c>
      <c r="J86" t="s">
        <v>2598</v>
      </c>
    </row>
    <row r="87" spans="1:10" x14ac:dyDescent="0.2">
      <c r="A87">
        <v>1.22870970098489E-4</v>
      </c>
      <c r="B87">
        <v>0.90587128027526598</v>
      </c>
      <c r="C87">
        <v>0.33</v>
      </c>
      <c r="D87">
        <v>0.10100000000000001</v>
      </c>
      <c r="E87">
        <v>1</v>
      </c>
      <c r="F87" t="s">
        <v>1397</v>
      </c>
      <c r="G87" t="s">
        <v>1398</v>
      </c>
      <c r="H87" t="s">
        <v>1397</v>
      </c>
      <c r="I87" t="str">
        <f>HYPERLINK("https://zfin.org/ZDB-GENE-110411-258")</f>
        <v>https://zfin.org/ZDB-GENE-110411-258</v>
      </c>
      <c r="J87" t="s">
        <v>1396</v>
      </c>
    </row>
    <row r="88" spans="1:10" x14ac:dyDescent="0.2">
      <c r="A88">
        <v>1.2363812193334501E-4</v>
      </c>
      <c r="B88">
        <v>0.42906172516045998</v>
      </c>
      <c r="C88">
        <v>0.90400000000000003</v>
      </c>
      <c r="D88">
        <v>0.75900000000000001</v>
      </c>
      <c r="E88">
        <v>1</v>
      </c>
      <c r="F88" t="s">
        <v>2485</v>
      </c>
      <c r="G88" t="s">
        <v>2486</v>
      </c>
      <c r="H88" t="s">
        <v>2485</v>
      </c>
      <c r="I88" t="str">
        <f>HYPERLINK("https://zfin.org/ZDB-GENE-050506-24")</f>
        <v>https://zfin.org/ZDB-GENE-050506-24</v>
      </c>
      <c r="J88" t="s">
        <v>2484</v>
      </c>
    </row>
    <row r="89" spans="1:10" x14ac:dyDescent="0.2">
      <c r="A89">
        <v>1.4464067997963201E-4</v>
      </c>
      <c r="B89">
        <v>0.48311585557588499</v>
      </c>
      <c r="C89">
        <v>0.73399999999999999</v>
      </c>
      <c r="D89">
        <v>0.50600000000000001</v>
      </c>
      <c r="E89">
        <v>1</v>
      </c>
      <c r="F89" t="s">
        <v>1770</v>
      </c>
      <c r="G89" t="s">
        <v>1771</v>
      </c>
      <c r="H89" t="s">
        <v>1770</v>
      </c>
      <c r="I89" t="str">
        <f>HYPERLINK("https://zfin.org/ZDB-GENE-030131-7626")</f>
        <v>https://zfin.org/ZDB-GENE-030131-7626</v>
      </c>
      <c r="J89" t="s">
        <v>1769</v>
      </c>
    </row>
    <row r="90" spans="1:10" x14ac:dyDescent="0.2">
      <c r="A90">
        <v>1.5470766477104799E-4</v>
      </c>
      <c r="B90">
        <v>0.48365509310055899</v>
      </c>
      <c r="C90">
        <v>0.70199999999999996</v>
      </c>
      <c r="D90">
        <v>0.38</v>
      </c>
      <c r="E90">
        <v>1</v>
      </c>
      <c r="F90" t="s">
        <v>2284</v>
      </c>
      <c r="G90" t="s">
        <v>2285</v>
      </c>
      <c r="H90" t="s">
        <v>2284</v>
      </c>
      <c r="I90" t="str">
        <f>HYPERLINK("https://zfin.org/ZDB-GENE-131127-543")</f>
        <v>https://zfin.org/ZDB-GENE-131127-543</v>
      </c>
      <c r="J90" t="s">
        <v>2283</v>
      </c>
    </row>
    <row r="91" spans="1:10" x14ac:dyDescent="0.2">
      <c r="A91">
        <v>1.6010916115872801E-4</v>
      </c>
      <c r="B91">
        <v>0.61196744176761997</v>
      </c>
      <c r="C91">
        <v>0.60599999999999998</v>
      </c>
      <c r="D91">
        <v>0.27800000000000002</v>
      </c>
      <c r="E91">
        <v>1</v>
      </c>
      <c r="F91" t="s">
        <v>2287</v>
      </c>
      <c r="G91" t="s">
        <v>2288</v>
      </c>
      <c r="H91" t="s">
        <v>2287</v>
      </c>
      <c r="I91" t="str">
        <f>HYPERLINK("https://zfin.org/ZDB-GENE-050327-77")</f>
        <v>https://zfin.org/ZDB-GENE-050327-77</v>
      </c>
      <c r="J91" t="s">
        <v>2286</v>
      </c>
    </row>
    <row r="92" spans="1:10" x14ac:dyDescent="0.2">
      <c r="A92">
        <v>1.6028671639610099E-4</v>
      </c>
      <c r="B92">
        <v>0.59720782694192798</v>
      </c>
      <c r="C92">
        <v>0.44700000000000001</v>
      </c>
      <c r="D92">
        <v>0.215</v>
      </c>
      <c r="E92">
        <v>1</v>
      </c>
      <c r="F92" t="s">
        <v>2093</v>
      </c>
      <c r="G92" t="s">
        <v>2094</v>
      </c>
      <c r="H92" t="s">
        <v>2093</v>
      </c>
      <c r="I92" t="str">
        <f>HYPERLINK("https://zfin.org/ZDB-GENE-010406-5")</f>
        <v>https://zfin.org/ZDB-GENE-010406-5</v>
      </c>
      <c r="J92" t="s">
        <v>2092</v>
      </c>
    </row>
    <row r="93" spans="1:10" x14ac:dyDescent="0.2">
      <c r="A93">
        <v>1.9382809785516801E-4</v>
      </c>
      <c r="B93">
        <v>1.09293763267169</v>
      </c>
      <c r="C93">
        <v>0.5</v>
      </c>
      <c r="D93">
        <v>0.27800000000000002</v>
      </c>
      <c r="E93">
        <v>1</v>
      </c>
      <c r="F93" t="s">
        <v>2563</v>
      </c>
      <c r="G93" t="s">
        <v>2564</v>
      </c>
      <c r="H93" t="s">
        <v>2563</v>
      </c>
      <c r="I93" t="str">
        <f>HYPERLINK("https://zfin.org/ZDB-GENE-131127-95")</f>
        <v>https://zfin.org/ZDB-GENE-131127-95</v>
      </c>
      <c r="J93" t="s">
        <v>2562</v>
      </c>
    </row>
    <row r="94" spans="1:10" x14ac:dyDescent="0.2">
      <c r="A94">
        <v>2.01976146220327E-4</v>
      </c>
      <c r="B94">
        <v>0.51649722536121301</v>
      </c>
      <c r="C94">
        <v>0.33</v>
      </c>
      <c r="D94">
        <v>8.8999999999999996E-2</v>
      </c>
      <c r="E94">
        <v>1</v>
      </c>
      <c r="F94" t="s">
        <v>2596</v>
      </c>
      <c r="G94" t="s">
        <v>2597</v>
      </c>
      <c r="H94" t="s">
        <v>2596</v>
      </c>
      <c r="I94" t="str">
        <f>HYPERLINK("https://zfin.org/ZDB-GENE-061013-567")</f>
        <v>https://zfin.org/ZDB-GENE-061013-567</v>
      </c>
      <c r="J94" t="s">
        <v>2595</v>
      </c>
    </row>
    <row r="95" spans="1:10" x14ac:dyDescent="0.2">
      <c r="A95">
        <v>2.0322250926582501E-4</v>
      </c>
      <c r="B95">
        <v>0.52534749909287104</v>
      </c>
      <c r="C95">
        <v>0.56399999999999995</v>
      </c>
      <c r="D95">
        <v>0.32900000000000001</v>
      </c>
      <c r="E95">
        <v>1</v>
      </c>
      <c r="F95" t="s">
        <v>2593</v>
      </c>
      <c r="G95" t="s">
        <v>2594</v>
      </c>
      <c r="H95" t="s">
        <v>2593</v>
      </c>
      <c r="I95" t="str">
        <f>HYPERLINK("https://zfin.org/ZDB-GENE-041114-180")</f>
        <v>https://zfin.org/ZDB-GENE-041114-180</v>
      </c>
      <c r="J95" t="s">
        <v>2592</v>
      </c>
    </row>
    <row r="96" spans="1:10" x14ac:dyDescent="0.2">
      <c r="A96">
        <v>2.0539565629044599E-4</v>
      </c>
      <c r="B96">
        <v>0.327979038676252</v>
      </c>
      <c r="C96">
        <v>0.95699999999999996</v>
      </c>
      <c r="D96">
        <v>0.91100000000000003</v>
      </c>
      <c r="E96">
        <v>1</v>
      </c>
      <c r="F96" t="s">
        <v>903</v>
      </c>
      <c r="G96" t="s">
        <v>904</v>
      </c>
      <c r="H96" t="s">
        <v>903</v>
      </c>
      <c r="I96" t="str">
        <f>HYPERLINK("https://zfin.org/ZDB-GENE-040426-1928")</f>
        <v>https://zfin.org/ZDB-GENE-040426-1928</v>
      </c>
      <c r="J96" t="s">
        <v>902</v>
      </c>
    </row>
    <row r="97" spans="1:10" x14ac:dyDescent="0.2">
      <c r="A97">
        <v>2.0624493323655399E-4</v>
      </c>
      <c r="B97">
        <v>0.66889743463622897</v>
      </c>
      <c r="C97">
        <v>0.60599999999999998</v>
      </c>
      <c r="D97">
        <v>0.40500000000000003</v>
      </c>
      <c r="E97">
        <v>1</v>
      </c>
      <c r="F97" t="s">
        <v>733</v>
      </c>
      <c r="G97" t="s">
        <v>734</v>
      </c>
      <c r="H97" t="s">
        <v>733</v>
      </c>
      <c r="I97" t="str">
        <f>HYPERLINK("https://zfin.org/ZDB-GENE-080723-23")</f>
        <v>https://zfin.org/ZDB-GENE-080723-23</v>
      </c>
      <c r="J97" t="s">
        <v>732</v>
      </c>
    </row>
    <row r="98" spans="1:10" x14ac:dyDescent="0.2">
      <c r="A98">
        <v>2.17304960431721E-4</v>
      </c>
      <c r="B98">
        <v>0.50781741317891904</v>
      </c>
      <c r="C98">
        <v>0.54300000000000004</v>
      </c>
      <c r="D98">
        <v>0.253</v>
      </c>
      <c r="E98">
        <v>1</v>
      </c>
      <c r="F98" t="s">
        <v>2263</v>
      </c>
      <c r="G98" t="s">
        <v>2264</v>
      </c>
      <c r="H98" t="s">
        <v>2263</v>
      </c>
      <c r="I98" t="str">
        <f>HYPERLINK("https://zfin.org/ZDB-GENE-030804-11")</f>
        <v>https://zfin.org/ZDB-GENE-030804-11</v>
      </c>
      <c r="J98" t="s">
        <v>2262</v>
      </c>
    </row>
    <row r="99" spans="1:10" x14ac:dyDescent="0.2">
      <c r="A99">
        <v>2.18729936094956E-4</v>
      </c>
      <c r="B99">
        <v>0.37084923108027901</v>
      </c>
      <c r="C99">
        <v>0.16</v>
      </c>
      <c r="D99">
        <v>0</v>
      </c>
      <c r="E99">
        <v>1</v>
      </c>
      <c r="F99" t="s">
        <v>2590</v>
      </c>
      <c r="G99" t="s">
        <v>2591</v>
      </c>
      <c r="H99" t="s">
        <v>2590</v>
      </c>
      <c r="I99" t="str">
        <f>HYPERLINK("https://zfin.org/ZDB-GENE-141219-7")</f>
        <v>https://zfin.org/ZDB-GENE-141219-7</v>
      </c>
      <c r="J99" t="s">
        <v>2589</v>
      </c>
    </row>
    <row r="100" spans="1:10" x14ac:dyDescent="0.2">
      <c r="A100">
        <v>2.3225265605131899E-4</v>
      </c>
      <c r="B100">
        <v>0.84541873305259296</v>
      </c>
      <c r="C100">
        <v>0.60599999999999998</v>
      </c>
      <c r="D100">
        <v>0.36699999999999999</v>
      </c>
      <c r="E100">
        <v>1</v>
      </c>
      <c r="F100" t="s">
        <v>1470</v>
      </c>
      <c r="G100" t="s">
        <v>1471</v>
      </c>
      <c r="H100" t="s">
        <v>1470</v>
      </c>
      <c r="I100" t="str">
        <f>HYPERLINK("https://zfin.org/ZDB-GENE-031112-4")</f>
        <v>https://zfin.org/ZDB-GENE-031112-4</v>
      </c>
      <c r="J100" t="s">
        <v>1469</v>
      </c>
    </row>
    <row r="101" spans="1:10" x14ac:dyDescent="0.2">
      <c r="A101">
        <v>2.35558766032034E-4</v>
      </c>
      <c r="B101">
        <v>0.47168594307491701</v>
      </c>
      <c r="C101">
        <v>0.21299999999999999</v>
      </c>
      <c r="D101">
        <v>2.5000000000000001E-2</v>
      </c>
      <c r="E101">
        <v>1</v>
      </c>
      <c r="F101" t="s">
        <v>2587</v>
      </c>
      <c r="G101" t="s">
        <v>2588</v>
      </c>
      <c r="H101" t="s">
        <v>2587</v>
      </c>
      <c r="I101" t="str">
        <f>HYPERLINK("https://zfin.org/ZDB-GENE-040426-2296")</f>
        <v>https://zfin.org/ZDB-GENE-040426-2296</v>
      </c>
      <c r="J101" t="s">
        <v>2586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76043-BEE5-854B-8CC1-6C5EDBDF2A07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9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4.3388675696766901E-23</v>
      </c>
      <c r="B2">
        <v>-2.4480181208321401</v>
      </c>
      <c r="C2">
        <v>0.46800000000000003</v>
      </c>
      <c r="D2">
        <v>0.94899999999999995</v>
      </c>
      <c r="E2">
        <v>6.7178686581304099E-19</v>
      </c>
      <c r="F2" t="s">
        <v>1473</v>
      </c>
      <c r="G2" t="s">
        <v>1474</v>
      </c>
      <c r="H2" t="s">
        <v>1473</v>
      </c>
      <c r="I2" t="str">
        <f>HYPERLINK("https://zfin.org/ZDB-GENE-080917-47")</f>
        <v>https://zfin.org/ZDB-GENE-080917-47</v>
      </c>
      <c r="J2" t="s">
        <v>1472</v>
      </c>
    </row>
    <row r="3" spans="1:10" x14ac:dyDescent="0.2">
      <c r="A3">
        <v>1.21151785966441E-22</v>
      </c>
      <c r="B3">
        <v>-2.22127781757673</v>
      </c>
      <c r="C3">
        <v>1.0999999999999999E-2</v>
      </c>
      <c r="D3">
        <v>0.73399999999999999</v>
      </c>
      <c r="E3">
        <v>1.8757931021184101E-18</v>
      </c>
      <c r="F3" t="s">
        <v>2790</v>
      </c>
      <c r="G3" t="s">
        <v>2791</v>
      </c>
      <c r="H3" t="s">
        <v>2790</v>
      </c>
      <c r="I3" t="str">
        <f>HYPERLINK("https://zfin.org/ZDB-GENE-990415-17")</f>
        <v>https://zfin.org/ZDB-GENE-990415-17</v>
      </c>
      <c r="J3" t="s">
        <v>2789</v>
      </c>
    </row>
    <row r="4" spans="1:10" x14ac:dyDescent="0.2">
      <c r="A4">
        <v>4.30710010364322E-20</v>
      </c>
      <c r="B4">
        <v>-1.81214334109402</v>
      </c>
      <c r="C4">
        <v>6.4000000000000001E-2</v>
      </c>
      <c r="D4">
        <v>0.72199999999999998</v>
      </c>
      <c r="E4">
        <v>6.6686830904708002E-16</v>
      </c>
      <c r="F4" t="s">
        <v>2787</v>
      </c>
      <c r="G4" t="s">
        <v>2788</v>
      </c>
      <c r="H4" t="s">
        <v>2787</v>
      </c>
      <c r="I4" t="str">
        <f>HYPERLINK("https://zfin.org/ZDB-GENE-980526-114")</f>
        <v>https://zfin.org/ZDB-GENE-980526-114</v>
      </c>
      <c r="J4" t="s">
        <v>2786</v>
      </c>
    </row>
    <row r="5" spans="1:10" x14ac:dyDescent="0.2">
      <c r="A5">
        <v>7.2630544309493596E-19</v>
      </c>
      <c r="B5">
        <v>-1.6104928351912999</v>
      </c>
      <c r="C5">
        <v>0.223</v>
      </c>
      <c r="D5">
        <v>0.82299999999999995</v>
      </c>
      <c r="E5">
        <v>1.1245387175438899E-14</v>
      </c>
      <c r="F5" t="s">
        <v>1346</v>
      </c>
      <c r="G5" t="s">
        <v>1347</v>
      </c>
      <c r="H5" t="s">
        <v>1346</v>
      </c>
      <c r="I5" t="str">
        <f>HYPERLINK("https://zfin.org/ZDB-GENE-980526-29")</f>
        <v>https://zfin.org/ZDB-GENE-980526-29</v>
      </c>
      <c r="J5" t="s">
        <v>1345</v>
      </c>
    </row>
    <row r="6" spans="1:10" x14ac:dyDescent="0.2">
      <c r="A6">
        <v>4.8208431872481702E-18</v>
      </c>
      <c r="B6">
        <v>-1.8795214464280301</v>
      </c>
      <c r="C6">
        <v>5.2999999999999999E-2</v>
      </c>
      <c r="D6">
        <v>0.67100000000000004</v>
      </c>
      <c r="E6">
        <v>7.4641115068163495E-14</v>
      </c>
      <c r="F6" t="s">
        <v>554</v>
      </c>
      <c r="G6" t="s">
        <v>555</v>
      </c>
      <c r="H6" t="s">
        <v>554</v>
      </c>
      <c r="I6" t="str">
        <f>HYPERLINK("https://zfin.org/ZDB-GENE-040628-1")</f>
        <v>https://zfin.org/ZDB-GENE-040628-1</v>
      </c>
      <c r="J6" t="s">
        <v>553</v>
      </c>
    </row>
    <row r="7" spans="1:10" x14ac:dyDescent="0.2">
      <c r="A7">
        <v>6.5736657162660298E-18</v>
      </c>
      <c r="B7">
        <v>-2.5040014158735202</v>
      </c>
      <c r="C7">
        <v>1.0999999999999999E-2</v>
      </c>
      <c r="D7">
        <v>0.62</v>
      </c>
      <c r="E7">
        <v>1.0178006628494699E-13</v>
      </c>
      <c r="F7" t="s">
        <v>2785</v>
      </c>
      <c r="G7" t="s">
        <v>2784</v>
      </c>
      <c r="H7" t="s">
        <v>2776</v>
      </c>
      <c r="I7" t="str">
        <f>HYPERLINK("https://zfin.org/ZDB-GENE-060815-1")</f>
        <v>https://zfin.org/ZDB-GENE-060815-1</v>
      </c>
      <c r="J7" t="s">
        <v>2775</v>
      </c>
    </row>
    <row r="8" spans="1:10" x14ac:dyDescent="0.2">
      <c r="A8">
        <v>6.62149921961621E-18</v>
      </c>
      <c r="B8">
        <v>-1.6591160902092901</v>
      </c>
      <c r="C8">
        <v>5.2999999999999999E-2</v>
      </c>
      <c r="D8">
        <v>0.67100000000000004</v>
      </c>
      <c r="E8">
        <v>1.02520672417318E-13</v>
      </c>
      <c r="F8" t="s">
        <v>2098</v>
      </c>
      <c r="G8" t="s">
        <v>2097</v>
      </c>
      <c r="H8" t="s">
        <v>2096</v>
      </c>
      <c r="I8" t="str">
        <f>HYPERLINK("https://zfin.org/ZDB-GENE-030131-8290")</f>
        <v>https://zfin.org/ZDB-GENE-030131-8290</v>
      </c>
      <c r="J8" t="s">
        <v>2095</v>
      </c>
    </row>
    <row r="9" spans="1:10" x14ac:dyDescent="0.2">
      <c r="A9">
        <v>1.77346595422599E-17</v>
      </c>
      <c r="B9">
        <v>-1.78828726679568</v>
      </c>
      <c r="C9">
        <v>1.0999999999999999E-2</v>
      </c>
      <c r="D9">
        <v>0.60799999999999998</v>
      </c>
      <c r="E9">
        <v>2.7458573369281102E-13</v>
      </c>
      <c r="F9" t="s">
        <v>2142</v>
      </c>
      <c r="G9" t="s">
        <v>2143</v>
      </c>
      <c r="H9" t="s">
        <v>2142</v>
      </c>
      <c r="I9" t="str">
        <f>HYPERLINK("https://zfin.org/ZDB-GENE-990415-47")</f>
        <v>https://zfin.org/ZDB-GENE-990415-47</v>
      </c>
      <c r="J9" t="s">
        <v>2141</v>
      </c>
    </row>
    <row r="10" spans="1:10" x14ac:dyDescent="0.2">
      <c r="A10">
        <v>4.3478359382772898E-17</v>
      </c>
      <c r="B10">
        <v>-1.96541903749807</v>
      </c>
      <c r="C10">
        <v>3.2000000000000001E-2</v>
      </c>
      <c r="D10">
        <v>0.62</v>
      </c>
      <c r="E10">
        <v>6.73175438323473E-13</v>
      </c>
      <c r="F10" t="s">
        <v>836</v>
      </c>
      <c r="G10" t="s">
        <v>837</v>
      </c>
      <c r="H10" t="s">
        <v>836</v>
      </c>
      <c r="I10" t="str">
        <f>HYPERLINK("https://zfin.org/ZDB-GENE-040426-2321")</f>
        <v>https://zfin.org/ZDB-GENE-040426-2321</v>
      </c>
      <c r="J10" t="s">
        <v>835</v>
      </c>
    </row>
    <row r="11" spans="1:10" x14ac:dyDescent="0.2">
      <c r="A11">
        <v>1.88998353693312E-16</v>
      </c>
      <c r="B11">
        <v>-1.47514181414569</v>
      </c>
      <c r="C11">
        <v>0.13800000000000001</v>
      </c>
      <c r="D11">
        <v>0.70899999999999996</v>
      </c>
      <c r="E11">
        <v>2.92626151023356E-12</v>
      </c>
      <c r="F11" t="s">
        <v>842</v>
      </c>
      <c r="G11" t="s">
        <v>843</v>
      </c>
      <c r="H11" t="s">
        <v>842</v>
      </c>
      <c r="I11" t="str">
        <f>HYPERLINK("https://zfin.org/ZDB-GENE-030131-5561")</f>
        <v>https://zfin.org/ZDB-GENE-030131-5561</v>
      </c>
      <c r="J11" t="s">
        <v>841</v>
      </c>
    </row>
    <row r="12" spans="1:10" x14ac:dyDescent="0.2">
      <c r="A12">
        <v>2.5936751316832801E-14</v>
      </c>
      <c r="B12">
        <v>-0.40286120786616197</v>
      </c>
      <c r="C12">
        <v>1</v>
      </c>
      <c r="D12">
        <v>1</v>
      </c>
      <c r="E12">
        <v>4.0157872063852301E-10</v>
      </c>
      <c r="F12" t="s">
        <v>85</v>
      </c>
      <c r="G12" t="s">
        <v>86</v>
      </c>
      <c r="H12" t="s">
        <v>85</v>
      </c>
      <c r="I12" t="str">
        <f>HYPERLINK("https://zfin.org/ZDB-GENE-990415-52")</f>
        <v>https://zfin.org/ZDB-GENE-990415-52</v>
      </c>
      <c r="J12" t="s">
        <v>87</v>
      </c>
    </row>
    <row r="13" spans="1:10" x14ac:dyDescent="0.2">
      <c r="A13">
        <v>2.8914709210015799E-14</v>
      </c>
      <c r="B13">
        <v>-1.05850971730582</v>
      </c>
      <c r="C13">
        <v>1.0999999999999999E-2</v>
      </c>
      <c r="D13">
        <v>0.50600000000000001</v>
      </c>
      <c r="E13">
        <v>4.4768644269867498E-10</v>
      </c>
      <c r="F13" t="s">
        <v>2782</v>
      </c>
      <c r="G13" t="s">
        <v>2783</v>
      </c>
      <c r="H13" t="s">
        <v>2782</v>
      </c>
      <c r="I13" t="str">
        <f>HYPERLINK("https://zfin.org/ZDB-GENE-070912-181")</f>
        <v>https://zfin.org/ZDB-GENE-070912-181</v>
      </c>
      <c r="J13" t="s">
        <v>2781</v>
      </c>
    </row>
    <row r="14" spans="1:10" x14ac:dyDescent="0.2">
      <c r="A14">
        <v>4.8499744834082101E-14</v>
      </c>
      <c r="B14">
        <v>-1.28950326648349</v>
      </c>
      <c r="C14">
        <v>4.2999999999999997E-2</v>
      </c>
      <c r="D14">
        <v>0.55700000000000005</v>
      </c>
      <c r="E14">
        <v>7.5092154926609404E-10</v>
      </c>
      <c r="F14" t="s">
        <v>2779</v>
      </c>
      <c r="G14" t="s">
        <v>2780</v>
      </c>
      <c r="H14" t="s">
        <v>2779</v>
      </c>
      <c r="I14" t="str">
        <f>HYPERLINK("https://zfin.org/ZDB-GENE-080804-1")</f>
        <v>https://zfin.org/ZDB-GENE-080804-1</v>
      </c>
      <c r="J14" t="s">
        <v>2778</v>
      </c>
    </row>
    <row r="15" spans="1:10" x14ac:dyDescent="0.2">
      <c r="A15">
        <v>9.2448386564379604E-14</v>
      </c>
      <c r="B15">
        <v>-2.1140260127583201</v>
      </c>
      <c r="C15">
        <v>3.2000000000000001E-2</v>
      </c>
      <c r="D15">
        <v>0.53200000000000003</v>
      </c>
      <c r="E15">
        <v>1.4313783691762901E-9</v>
      </c>
      <c r="F15" t="s">
        <v>2776</v>
      </c>
      <c r="G15" t="s">
        <v>2777</v>
      </c>
      <c r="H15" t="s">
        <v>2776</v>
      </c>
      <c r="I15" t="str">
        <f>HYPERLINK("https://zfin.org/ZDB-GENE-060815-1")</f>
        <v>https://zfin.org/ZDB-GENE-060815-1</v>
      </c>
      <c r="J15" t="s">
        <v>2775</v>
      </c>
    </row>
    <row r="16" spans="1:10" x14ac:dyDescent="0.2">
      <c r="A16">
        <v>1.9711735283579499E-13</v>
      </c>
      <c r="B16">
        <v>-1.3938294370986799</v>
      </c>
      <c r="C16">
        <v>9.6000000000000002E-2</v>
      </c>
      <c r="D16">
        <v>0.60799999999999998</v>
      </c>
      <c r="E16">
        <v>3.05196797395661E-9</v>
      </c>
      <c r="F16" t="s">
        <v>2773</v>
      </c>
      <c r="G16" t="s">
        <v>2774</v>
      </c>
      <c r="H16" t="s">
        <v>2773</v>
      </c>
      <c r="I16" t="str">
        <f>HYPERLINK("https://zfin.org/ZDB-GENE-040123-1")</f>
        <v>https://zfin.org/ZDB-GENE-040123-1</v>
      </c>
      <c r="J16" t="s">
        <v>2772</v>
      </c>
    </row>
    <row r="17" spans="1:10" x14ac:dyDescent="0.2">
      <c r="A17">
        <v>2.4809399034556001E-13</v>
      </c>
      <c r="B17">
        <v>-1.5441518191813</v>
      </c>
      <c r="C17">
        <v>6.4000000000000001E-2</v>
      </c>
      <c r="D17">
        <v>0.55700000000000005</v>
      </c>
      <c r="E17">
        <v>3.8412392525202998E-9</v>
      </c>
      <c r="F17" t="s">
        <v>860</v>
      </c>
      <c r="G17" t="s">
        <v>861</v>
      </c>
      <c r="H17" t="s">
        <v>860</v>
      </c>
      <c r="I17" t="str">
        <f>HYPERLINK("https://zfin.org/ZDB-GENE-081105-161")</f>
        <v>https://zfin.org/ZDB-GENE-081105-161</v>
      </c>
      <c r="J17" t="s">
        <v>859</v>
      </c>
    </row>
    <row r="18" spans="1:10" x14ac:dyDescent="0.2">
      <c r="A18">
        <v>6.6144858082625498E-13</v>
      </c>
      <c r="B18">
        <v>-1.25000692114613</v>
      </c>
      <c r="C18">
        <v>0.223</v>
      </c>
      <c r="D18">
        <v>0.70899999999999996</v>
      </c>
      <c r="E18">
        <v>1.02412083769329E-8</v>
      </c>
      <c r="F18" t="s">
        <v>1461</v>
      </c>
      <c r="G18" t="s">
        <v>1462</v>
      </c>
      <c r="H18" t="s">
        <v>1461</v>
      </c>
      <c r="I18" t="str">
        <f>HYPERLINK("https://zfin.org/ZDB-GENE-980605-16")</f>
        <v>https://zfin.org/ZDB-GENE-980605-16</v>
      </c>
      <c r="J18" t="s">
        <v>1460</v>
      </c>
    </row>
    <row r="19" spans="1:10" x14ac:dyDescent="0.2">
      <c r="A19">
        <v>1.16206640566763E-10</v>
      </c>
      <c r="B19">
        <v>-1.6321332567045199</v>
      </c>
      <c r="C19">
        <v>9.6000000000000002E-2</v>
      </c>
      <c r="D19">
        <v>0.51900000000000002</v>
      </c>
      <c r="E19">
        <v>1.79922741589519E-6</v>
      </c>
      <c r="F19" t="s">
        <v>2383</v>
      </c>
      <c r="G19" t="s">
        <v>2384</v>
      </c>
      <c r="H19" t="s">
        <v>2383</v>
      </c>
      <c r="I19" t="str">
        <f>HYPERLINK("https://zfin.org/ZDB-GENE-030707-2")</f>
        <v>https://zfin.org/ZDB-GENE-030707-2</v>
      </c>
      <c r="J19" t="s">
        <v>2382</v>
      </c>
    </row>
    <row r="20" spans="1:10" x14ac:dyDescent="0.2">
      <c r="A20">
        <v>1.1804464694778801E-10</v>
      </c>
      <c r="B20">
        <v>-1.23576690473166</v>
      </c>
      <c r="C20">
        <v>1.0999999999999999E-2</v>
      </c>
      <c r="D20">
        <v>0.39200000000000002</v>
      </c>
      <c r="E20">
        <v>1.8276852686926E-6</v>
      </c>
      <c r="F20" t="s">
        <v>875</v>
      </c>
      <c r="G20" t="s">
        <v>876</v>
      </c>
      <c r="H20" t="s">
        <v>875</v>
      </c>
      <c r="I20" t="str">
        <f>HYPERLINK("https://zfin.org/ZDB-GENE-030131-2602")</f>
        <v>https://zfin.org/ZDB-GENE-030131-2602</v>
      </c>
      <c r="J20" t="s">
        <v>874</v>
      </c>
    </row>
    <row r="21" spans="1:10" x14ac:dyDescent="0.2">
      <c r="A21">
        <v>1.40603987221734E-10</v>
      </c>
      <c r="B21">
        <v>-1.9699375188610599</v>
      </c>
      <c r="C21">
        <v>0.13800000000000001</v>
      </c>
      <c r="D21">
        <v>0.54400000000000004</v>
      </c>
      <c r="E21">
        <v>2.17697153415411E-6</v>
      </c>
      <c r="F21" t="s">
        <v>2770</v>
      </c>
      <c r="G21" t="s">
        <v>2771</v>
      </c>
      <c r="H21" t="s">
        <v>2770</v>
      </c>
      <c r="I21" t="str">
        <f>HYPERLINK("https://zfin.org/ZDB-GENE-980526-521")</f>
        <v>https://zfin.org/ZDB-GENE-980526-521</v>
      </c>
      <c r="J21" t="s">
        <v>2769</v>
      </c>
    </row>
    <row r="22" spans="1:10" x14ac:dyDescent="0.2">
      <c r="A22">
        <v>1.7497147394671499E-10</v>
      </c>
      <c r="B22">
        <v>-1.0609115742519599</v>
      </c>
      <c r="C22">
        <v>0</v>
      </c>
      <c r="D22">
        <v>0.36699999999999999</v>
      </c>
      <c r="E22">
        <v>2.7090833311169899E-6</v>
      </c>
      <c r="F22" t="s">
        <v>2767</v>
      </c>
      <c r="G22" t="s">
        <v>2768</v>
      </c>
      <c r="H22" t="s">
        <v>2767</v>
      </c>
      <c r="I22" t="str">
        <f>HYPERLINK("https://zfin.org/ZDB-GENE-040426-1810")</f>
        <v>https://zfin.org/ZDB-GENE-040426-1810</v>
      </c>
      <c r="J22" t="s">
        <v>2766</v>
      </c>
    </row>
    <row r="23" spans="1:10" x14ac:dyDescent="0.2">
      <c r="A23">
        <v>1.01424363298472E-9</v>
      </c>
      <c r="B23">
        <v>-0.50826547455259197</v>
      </c>
      <c r="C23">
        <v>0.96799999999999997</v>
      </c>
      <c r="D23">
        <v>0.98699999999999999</v>
      </c>
      <c r="E23">
        <v>1.5703534169502398E-5</v>
      </c>
      <c r="F23" t="s">
        <v>730</v>
      </c>
      <c r="G23" t="s">
        <v>731</v>
      </c>
      <c r="H23" t="s">
        <v>730</v>
      </c>
      <c r="I23" t="str">
        <f>HYPERLINK("https://zfin.org/ZDB-GENE-040718-72")</f>
        <v>https://zfin.org/ZDB-GENE-040718-72</v>
      </c>
      <c r="J23" t="s">
        <v>729</v>
      </c>
    </row>
    <row r="24" spans="1:10" x14ac:dyDescent="0.2">
      <c r="A24">
        <v>4.3187833796702598E-9</v>
      </c>
      <c r="B24">
        <v>-0.92828627861192303</v>
      </c>
      <c r="C24">
        <v>1.0999999999999999E-2</v>
      </c>
      <c r="D24">
        <v>0.34200000000000003</v>
      </c>
      <c r="E24">
        <v>6.6867723067434603E-5</v>
      </c>
      <c r="F24" t="s">
        <v>2764</v>
      </c>
      <c r="G24" t="s">
        <v>2765</v>
      </c>
      <c r="H24" t="s">
        <v>2764</v>
      </c>
      <c r="I24" t="str">
        <f>HYPERLINK("https://zfin.org/ZDB-GENE-050208-34")</f>
        <v>https://zfin.org/ZDB-GENE-050208-34</v>
      </c>
      <c r="J24" t="s">
        <v>2763</v>
      </c>
    </row>
    <row r="25" spans="1:10" x14ac:dyDescent="0.2">
      <c r="A25">
        <v>4.90877532982513E-9</v>
      </c>
      <c r="B25">
        <v>-0.75460863733209804</v>
      </c>
      <c r="C25">
        <v>0.106</v>
      </c>
      <c r="D25">
        <v>0.50600000000000001</v>
      </c>
      <c r="E25">
        <v>7.6002568431682497E-5</v>
      </c>
      <c r="F25" t="s">
        <v>2761</v>
      </c>
      <c r="G25" t="s">
        <v>2762</v>
      </c>
      <c r="H25" t="s">
        <v>2761</v>
      </c>
      <c r="I25" t="str">
        <f>HYPERLINK("https://zfin.org/ZDB-GENE-031018-3")</f>
        <v>https://zfin.org/ZDB-GENE-031018-3</v>
      </c>
      <c r="J25" t="s">
        <v>2760</v>
      </c>
    </row>
    <row r="26" spans="1:10" x14ac:dyDescent="0.2">
      <c r="A26">
        <v>8.3470163701078504E-9</v>
      </c>
      <c r="B26">
        <v>-1.12131096393568</v>
      </c>
      <c r="C26">
        <v>0.94699999999999995</v>
      </c>
      <c r="D26">
        <v>1</v>
      </c>
      <c r="E26">
        <v>1.2923685445837999E-4</v>
      </c>
      <c r="F26" t="s">
        <v>1479</v>
      </c>
      <c r="G26" t="s">
        <v>1480</v>
      </c>
      <c r="H26" t="s">
        <v>1479</v>
      </c>
      <c r="I26" t="str">
        <f>HYPERLINK("https://zfin.org/ZDB-GENE-121214-193")</f>
        <v>https://zfin.org/ZDB-GENE-121214-193</v>
      </c>
      <c r="J26" t="s">
        <v>1478</v>
      </c>
    </row>
    <row r="27" spans="1:10" x14ac:dyDescent="0.2">
      <c r="A27">
        <v>9.8203528436053599E-9</v>
      </c>
      <c r="B27">
        <v>-0.36564684317185697</v>
      </c>
      <c r="C27">
        <v>0.98899999999999999</v>
      </c>
      <c r="D27">
        <v>1</v>
      </c>
      <c r="E27">
        <v>1.5204852307754201E-4</v>
      </c>
      <c r="F27" t="s">
        <v>291</v>
      </c>
      <c r="G27" t="s">
        <v>292</v>
      </c>
      <c r="H27" t="s">
        <v>291</v>
      </c>
      <c r="I27" t="str">
        <f>HYPERLINK("https://zfin.org/ZDB-GENE-070327-2")</f>
        <v>https://zfin.org/ZDB-GENE-070327-2</v>
      </c>
      <c r="J27" t="s">
        <v>293</v>
      </c>
    </row>
    <row r="28" spans="1:10" x14ac:dyDescent="0.2">
      <c r="A28">
        <v>1.14098592971612E-8</v>
      </c>
      <c r="B28">
        <v>-1.1019999820894</v>
      </c>
      <c r="C28">
        <v>3.2000000000000001E-2</v>
      </c>
      <c r="D28">
        <v>0.36699999999999999</v>
      </c>
      <c r="E28">
        <v>1.7665885149794599E-4</v>
      </c>
      <c r="F28" t="s">
        <v>2758</v>
      </c>
      <c r="G28" t="s">
        <v>2759</v>
      </c>
      <c r="H28" t="s">
        <v>2758</v>
      </c>
      <c r="I28" t="str">
        <f>HYPERLINK("https://zfin.org/ZDB-GENE-040426-1882")</f>
        <v>https://zfin.org/ZDB-GENE-040426-1882</v>
      </c>
      <c r="J28" t="s">
        <v>2757</v>
      </c>
    </row>
    <row r="29" spans="1:10" x14ac:dyDescent="0.2">
      <c r="A29">
        <v>1.2619526507241E-8</v>
      </c>
      <c r="B29">
        <v>-0.31245707541922602</v>
      </c>
      <c r="C29">
        <v>1</v>
      </c>
      <c r="D29">
        <v>1</v>
      </c>
      <c r="E29">
        <v>1.95388128911612E-4</v>
      </c>
      <c r="F29" t="s">
        <v>231</v>
      </c>
      <c r="G29" t="s">
        <v>232</v>
      </c>
      <c r="H29" t="s">
        <v>231</v>
      </c>
      <c r="I29" t="str">
        <f>HYPERLINK("https://zfin.org/ZDB-GENE-030131-7528")</f>
        <v>https://zfin.org/ZDB-GENE-030131-7528</v>
      </c>
      <c r="J29" t="s">
        <v>233</v>
      </c>
    </row>
    <row r="30" spans="1:10" x14ac:dyDescent="0.2">
      <c r="A30">
        <v>1.27005421911281E-8</v>
      </c>
      <c r="B30">
        <v>-1.4417664467490401</v>
      </c>
      <c r="C30">
        <v>0.13800000000000001</v>
      </c>
      <c r="D30">
        <v>0.51900000000000002</v>
      </c>
      <c r="E30">
        <v>1.9664249474523601E-4</v>
      </c>
      <c r="F30" t="s">
        <v>2380</v>
      </c>
      <c r="G30" t="s">
        <v>2381</v>
      </c>
      <c r="H30" t="s">
        <v>2380</v>
      </c>
      <c r="I30" t="str">
        <f>HYPERLINK("https://zfin.org/ZDB-GENE-070627-1")</f>
        <v>https://zfin.org/ZDB-GENE-070627-1</v>
      </c>
      <c r="J30" t="s">
        <v>2379</v>
      </c>
    </row>
    <row r="31" spans="1:10" x14ac:dyDescent="0.2">
      <c r="A31">
        <v>2.3998629331952999E-8</v>
      </c>
      <c r="B31">
        <v>-0.76450767812242804</v>
      </c>
      <c r="C31">
        <v>0</v>
      </c>
      <c r="D31">
        <v>0.29099999999999998</v>
      </c>
      <c r="E31">
        <v>3.7157077794662801E-4</v>
      </c>
      <c r="F31" t="s">
        <v>2755</v>
      </c>
      <c r="G31" t="s">
        <v>2756</v>
      </c>
      <c r="H31" t="s">
        <v>2755</v>
      </c>
      <c r="I31" t="str">
        <f>HYPERLINK("https://zfin.org/ZDB-GENE-010130-2")</f>
        <v>https://zfin.org/ZDB-GENE-010130-2</v>
      </c>
      <c r="J31" t="s">
        <v>2754</v>
      </c>
    </row>
    <row r="32" spans="1:10" x14ac:dyDescent="0.2">
      <c r="A32">
        <v>2.6962424141136802E-8</v>
      </c>
      <c r="B32">
        <v>-0.37872534059757601</v>
      </c>
      <c r="C32">
        <v>0.98899999999999999</v>
      </c>
      <c r="D32">
        <v>1</v>
      </c>
      <c r="E32">
        <v>4.1745921297722197E-4</v>
      </c>
      <c r="F32" t="s">
        <v>207</v>
      </c>
      <c r="G32" t="s">
        <v>208</v>
      </c>
      <c r="H32" t="s">
        <v>207</v>
      </c>
      <c r="I32" t="str">
        <f>HYPERLINK("https://zfin.org/ZDB-GENE-040426-1033")</f>
        <v>https://zfin.org/ZDB-GENE-040426-1033</v>
      </c>
      <c r="J32" t="s">
        <v>209</v>
      </c>
    </row>
    <row r="33" spans="1:10" x14ac:dyDescent="0.2">
      <c r="A33">
        <v>2.94189438729307E-8</v>
      </c>
      <c r="B33">
        <v>-0.293996441789518</v>
      </c>
      <c r="C33">
        <v>1</v>
      </c>
      <c r="D33">
        <v>1</v>
      </c>
      <c r="E33">
        <v>4.5549350798458502E-4</v>
      </c>
      <c r="F33" t="s">
        <v>258</v>
      </c>
      <c r="G33" t="s">
        <v>259</v>
      </c>
      <c r="H33" t="s">
        <v>258</v>
      </c>
      <c r="I33" t="str">
        <f>HYPERLINK("https://zfin.org/ZDB-GENE-040622-2")</f>
        <v>https://zfin.org/ZDB-GENE-040622-2</v>
      </c>
      <c r="J33" t="s">
        <v>260</v>
      </c>
    </row>
    <row r="34" spans="1:10" x14ac:dyDescent="0.2">
      <c r="A34">
        <v>3.0446690061192501E-8</v>
      </c>
      <c r="B34">
        <v>-0.91100029360053902</v>
      </c>
      <c r="C34">
        <v>0.14899999999999999</v>
      </c>
      <c r="D34">
        <v>0.53200000000000003</v>
      </c>
      <c r="E34">
        <v>4.7140610221744399E-4</v>
      </c>
      <c r="F34" t="s">
        <v>1560</v>
      </c>
      <c r="G34" t="s">
        <v>1561</v>
      </c>
      <c r="H34" t="s">
        <v>1560</v>
      </c>
      <c r="I34" t="str">
        <f>HYPERLINK("https://zfin.org/ZDB-GENE-030131-5783")</f>
        <v>https://zfin.org/ZDB-GENE-030131-5783</v>
      </c>
      <c r="J34" t="s">
        <v>1559</v>
      </c>
    </row>
    <row r="35" spans="1:10" x14ac:dyDescent="0.2">
      <c r="A35">
        <v>3.8490714827250399E-8</v>
      </c>
      <c r="B35">
        <v>-0.32876610901862502</v>
      </c>
      <c r="C35">
        <v>0.97899999999999998</v>
      </c>
      <c r="D35">
        <v>0.98699999999999999</v>
      </c>
      <c r="E35">
        <v>5.95951737670318E-4</v>
      </c>
      <c r="F35" t="s">
        <v>267</v>
      </c>
      <c r="G35" t="s">
        <v>268</v>
      </c>
      <c r="H35" t="s">
        <v>267</v>
      </c>
      <c r="I35" t="str">
        <f>HYPERLINK("https://zfin.org/ZDB-GENE-040801-165")</f>
        <v>https://zfin.org/ZDB-GENE-040801-165</v>
      </c>
      <c r="J35" t="s">
        <v>269</v>
      </c>
    </row>
    <row r="36" spans="1:10" x14ac:dyDescent="0.2">
      <c r="A36">
        <v>1.28034038126328E-7</v>
      </c>
      <c r="B36">
        <v>-0.67660283343275296</v>
      </c>
      <c r="C36">
        <v>1.0999999999999999E-2</v>
      </c>
      <c r="D36">
        <v>0.29099999999999998</v>
      </c>
      <c r="E36">
        <v>1.9823510123099402E-3</v>
      </c>
      <c r="F36" t="s">
        <v>2752</v>
      </c>
      <c r="G36" t="s">
        <v>2753</v>
      </c>
      <c r="H36" t="s">
        <v>2752</v>
      </c>
      <c r="I36" t="str">
        <f>HYPERLINK("https://zfin.org/ZDB-GENE-040426-1725")</f>
        <v>https://zfin.org/ZDB-GENE-040426-1725</v>
      </c>
      <c r="J36" t="s">
        <v>2751</v>
      </c>
    </row>
    <row r="37" spans="1:10" x14ac:dyDescent="0.2">
      <c r="A37">
        <v>1.8919300366805399E-7</v>
      </c>
      <c r="B37">
        <v>-0.29514811786440798</v>
      </c>
      <c r="C37">
        <v>0.97899999999999998</v>
      </c>
      <c r="D37">
        <v>0.98699999999999999</v>
      </c>
      <c r="E37">
        <v>2.9292752757924798E-3</v>
      </c>
      <c r="F37" t="s">
        <v>270</v>
      </c>
      <c r="G37" t="s">
        <v>271</v>
      </c>
      <c r="H37" t="s">
        <v>270</v>
      </c>
      <c r="I37" t="str">
        <f>HYPERLINK("https://zfin.org/ZDB-GENE-040426-2117")</f>
        <v>https://zfin.org/ZDB-GENE-040426-2117</v>
      </c>
      <c r="J37" t="s">
        <v>272</v>
      </c>
    </row>
    <row r="38" spans="1:10" x14ac:dyDescent="0.2">
      <c r="A38">
        <v>2.5031717077941202E-7</v>
      </c>
      <c r="B38">
        <v>-0.51588845521890603</v>
      </c>
      <c r="C38">
        <v>0.76600000000000001</v>
      </c>
      <c r="D38">
        <v>0.86099999999999999</v>
      </c>
      <c r="E38">
        <v>3.87566075517764E-3</v>
      </c>
      <c r="F38" t="s">
        <v>866</v>
      </c>
      <c r="G38" t="s">
        <v>867</v>
      </c>
      <c r="H38" t="s">
        <v>866</v>
      </c>
      <c r="I38" t="str">
        <f>HYPERLINK("https://zfin.org/ZDB-GENE-020423-3")</f>
        <v>https://zfin.org/ZDB-GENE-020423-3</v>
      </c>
      <c r="J38" t="s">
        <v>865</v>
      </c>
    </row>
    <row r="39" spans="1:10" x14ac:dyDescent="0.2">
      <c r="A39">
        <v>2.5145833398618198E-7</v>
      </c>
      <c r="B39">
        <v>-0.73541028936234498</v>
      </c>
      <c r="C39">
        <v>0</v>
      </c>
      <c r="D39">
        <v>0.253</v>
      </c>
      <c r="E39">
        <v>3.8933293851080601E-3</v>
      </c>
      <c r="F39" t="s">
        <v>2749</v>
      </c>
      <c r="G39" t="s">
        <v>2750</v>
      </c>
      <c r="H39" t="s">
        <v>2749</v>
      </c>
      <c r="I39" t="str">
        <f>HYPERLINK("https://zfin.org/ZDB-GENE-061215-70")</f>
        <v>https://zfin.org/ZDB-GENE-061215-70</v>
      </c>
      <c r="J39" t="s">
        <v>2748</v>
      </c>
    </row>
    <row r="40" spans="1:10" x14ac:dyDescent="0.2">
      <c r="A40">
        <v>3.9595735067741998E-7</v>
      </c>
      <c r="B40">
        <v>-0.74285340875677797</v>
      </c>
      <c r="C40">
        <v>0.106</v>
      </c>
      <c r="D40">
        <v>0.443</v>
      </c>
      <c r="E40">
        <v>6.1306076605384899E-3</v>
      </c>
      <c r="F40" t="s">
        <v>2746</v>
      </c>
      <c r="G40" t="s">
        <v>2747</v>
      </c>
      <c r="H40" t="s">
        <v>2746</v>
      </c>
      <c r="I40" t="str">
        <f>HYPERLINK("https://zfin.org/ZDB-GENE-060312-34")</f>
        <v>https://zfin.org/ZDB-GENE-060312-34</v>
      </c>
      <c r="J40" t="s">
        <v>2745</v>
      </c>
    </row>
    <row r="41" spans="1:10" x14ac:dyDescent="0.2">
      <c r="A41">
        <v>4.7551816329981098E-7</v>
      </c>
      <c r="B41">
        <v>-0.319746920158752</v>
      </c>
      <c r="C41">
        <v>0.98899999999999999</v>
      </c>
      <c r="D41">
        <v>1</v>
      </c>
      <c r="E41">
        <v>7.3624477223709697E-3</v>
      </c>
      <c r="F41" t="s">
        <v>1058</v>
      </c>
      <c r="G41" t="s">
        <v>1057</v>
      </c>
      <c r="H41" t="s">
        <v>1056</v>
      </c>
      <c r="I41" t="str">
        <f>HYPERLINK("https://zfin.org/ZDB-GENE-040625-39")</f>
        <v>https://zfin.org/ZDB-GENE-040625-39</v>
      </c>
      <c r="J41" t="s">
        <v>1055</v>
      </c>
    </row>
    <row r="42" spans="1:10" x14ac:dyDescent="0.2">
      <c r="A42">
        <v>4.9698180477507403E-7</v>
      </c>
      <c r="B42">
        <v>-1.5904974158430201</v>
      </c>
      <c r="C42">
        <v>3.2000000000000001E-2</v>
      </c>
      <c r="D42">
        <v>0.30399999999999999</v>
      </c>
      <c r="E42">
        <v>7.6947692833324701E-3</v>
      </c>
      <c r="F42" t="s">
        <v>2743</v>
      </c>
      <c r="G42" t="s">
        <v>2744</v>
      </c>
      <c r="H42" t="s">
        <v>2743</v>
      </c>
      <c r="I42" t="str">
        <f>HYPERLINK("https://zfin.org/ZDB-GENE-060825-55")</f>
        <v>https://zfin.org/ZDB-GENE-060825-55</v>
      </c>
      <c r="J42" t="s">
        <v>2742</v>
      </c>
    </row>
    <row r="43" spans="1:10" x14ac:dyDescent="0.2">
      <c r="A43">
        <v>5.2279991101655705E-7</v>
      </c>
      <c r="B43">
        <v>-0.37278215753447103</v>
      </c>
      <c r="C43">
        <v>0.95699999999999996</v>
      </c>
      <c r="D43">
        <v>0.97499999999999998</v>
      </c>
      <c r="E43">
        <v>8.0945110222693604E-3</v>
      </c>
      <c r="F43" t="s">
        <v>951</v>
      </c>
      <c r="G43" t="s">
        <v>952</v>
      </c>
      <c r="H43" t="s">
        <v>951</v>
      </c>
      <c r="I43" t="str">
        <f>HYPERLINK("https://zfin.org/ZDB-GENE-040109-5")</f>
        <v>https://zfin.org/ZDB-GENE-040109-5</v>
      </c>
      <c r="J43" t="s">
        <v>950</v>
      </c>
    </row>
    <row r="44" spans="1:10" x14ac:dyDescent="0.2">
      <c r="A44">
        <v>8.3832275971495696E-7</v>
      </c>
      <c r="B44">
        <v>-0.27534514087339901</v>
      </c>
      <c r="C44">
        <v>0.97899999999999998</v>
      </c>
      <c r="D44">
        <v>1</v>
      </c>
      <c r="E44">
        <v>1.2979751288666699E-2</v>
      </c>
      <c r="F44" t="s">
        <v>1044</v>
      </c>
      <c r="G44" t="s">
        <v>1045</v>
      </c>
      <c r="H44" t="s">
        <v>1044</v>
      </c>
      <c r="I44" t="str">
        <f>HYPERLINK("https://zfin.org/ZDB-GENE-040426-811")</f>
        <v>https://zfin.org/ZDB-GENE-040426-811</v>
      </c>
      <c r="J44" t="s">
        <v>1043</v>
      </c>
    </row>
    <row r="45" spans="1:10" x14ac:dyDescent="0.2">
      <c r="A45">
        <v>1.11106780369301E-6</v>
      </c>
      <c r="B45">
        <v>-0.57661031218315695</v>
      </c>
      <c r="C45">
        <v>2.1000000000000001E-2</v>
      </c>
      <c r="D45">
        <v>0.27800000000000002</v>
      </c>
      <c r="E45">
        <v>1.7202662804578901E-2</v>
      </c>
      <c r="F45" t="s">
        <v>355</v>
      </c>
      <c r="G45" t="s">
        <v>356</v>
      </c>
      <c r="H45" t="s">
        <v>355</v>
      </c>
      <c r="I45" t="str">
        <f>HYPERLINK("https://zfin.org/ZDB-GENE-000412-1")</f>
        <v>https://zfin.org/ZDB-GENE-000412-1</v>
      </c>
      <c r="J45" t="s">
        <v>354</v>
      </c>
    </row>
    <row r="46" spans="1:10" x14ac:dyDescent="0.2">
      <c r="A46">
        <v>1.17855752579033E-6</v>
      </c>
      <c r="B46">
        <v>-0.41848868629383401</v>
      </c>
      <c r="C46">
        <v>0.97899999999999998</v>
      </c>
      <c r="D46">
        <v>0.97499999999999998</v>
      </c>
      <c r="E46">
        <v>1.8247606171811599E-2</v>
      </c>
      <c r="F46" t="s">
        <v>2740</v>
      </c>
      <c r="G46" t="s">
        <v>2741</v>
      </c>
      <c r="H46" t="s">
        <v>2740</v>
      </c>
      <c r="I46" t="str">
        <f>HYPERLINK("https://zfin.org/ZDB-GENE-990415-95")</f>
        <v>https://zfin.org/ZDB-GENE-990415-95</v>
      </c>
      <c r="J46" t="s">
        <v>2739</v>
      </c>
    </row>
    <row r="47" spans="1:10" x14ac:dyDescent="0.2">
      <c r="A47">
        <v>1.30293322571911E-6</v>
      </c>
      <c r="B47">
        <v>-0.58375950193894499</v>
      </c>
      <c r="C47">
        <v>3.2000000000000001E-2</v>
      </c>
      <c r="D47">
        <v>0.30399999999999999</v>
      </c>
      <c r="E47">
        <v>2.0173315133808999E-2</v>
      </c>
      <c r="F47" t="s">
        <v>2737</v>
      </c>
      <c r="G47" t="s">
        <v>2738</v>
      </c>
      <c r="H47" t="s">
        <v>2737</v>
      </c>
      <c r="I47" t="str">
        <f>HYPERLINK("https://zfin.org/ZDB-GENE-030131-9569")</f>
        <v>https://zfin.org/ZDB-GENE-030131-9569</v>
      </c>
      <c r="J47" t="s">
        <v>2736</v>
      </c>
    </row>
    <row r="48" spans="1:10" x14ac:dyDescent="0.2">
      <c r="A48">
        <v>1.3125214791280699E-6</v>
      </c>
      <c r="B48">
        <v>-0.27620279995387398</v>
      </c>
      <c r="C48">
        <v>1</v>
      </c>
      <c r="D48">
        <v>1</v>
      </c>
      <c r="E48">
        <v>2.0321770061339901E-2</v>
      </c>
      <c r="F48" t="s">
        <v>216</v>
      </c>
      <c r="G48" t="s">
        <v>217</v>
      </c>
      <c r="H48" t="s">
        <v>216</v>
      </c>
      <c r="I48" t="str">
        <f>HYPERLINK("https://zfin.org/ZDB-GENE-040625-147")</f>
        <v>https://zfin.org/ZDB-GENE-040625-147</v>
      </c>
      <c r="J48" t="s">
        <v>218</v>
      </c>
    </row>
    <row r="49" spans="1:10" x14ac:dyDescent="0.2">
      <c r="A49">
        <v>1.3385074225825101E-6</v>
      </c>
      <c r="B49">
        <v>-0.74801231418699099</v>
      </c>
      <c r="C49">
        <v>0.44700000000000001</v>
      </c>
      <c r="D49">
        <v>0.69599999999999995</v>
      </c>
      <c r="E49">
        <v>2.0724110423844901E-2</v>
      </c>
      <c r="F49" t="s">
        <v>2734</v>
      </c>
      <c r="G49" t="s">
        <v>2735</v>
      </c>
      <c r="H49" t="s">
        <v>2734</v>
      </c>
      <c r="I49" t="str">
        <f>HYPERLINK("https://zfin.org/ZDB-GENE-050428-1")</f>
        <v>https://zfin.org/ZDB-GENE-050428-1</v>
      </c>
      <c r="J49" t="s">
        <v>2733</v>
      </c>
    </row>
    <row r="50" spans="1:10" x14ac:dyDescent="0.2">
      <c r="A50">
        <v>1.8073050382532799E-6</v>
      </c>
      <c r="B50">
        <v>-0.30891168225412702</v>
      </c>
      <c r="C50">
        <v>0.98899999999999999</v>
      </c>
      <c r="D50">
        <v>0.98699999999999999</v>
      </c>
      <c r="E50">
        <v>2.79825039072755E-2</v>
      </c>
      <c r="F50" t="s">
        <v>1023</v>
      </c>
      <c r="G50" t="s">
        <v>1024</v>
      </c>
      <c r="H50" t="s">
        <v>1023</v>
      </c>
      <c r="I50" t="str">
        <f>HYPERLINK("https://zfin.org/ZDB-GENE-040625-52")</f>
        <v>https://zfin.org/ZDB-GENE-040625-52</v>
      </c>
      <c r="J50" t="s">
        <v>1022</v>
      </c>
    </row>
    <row r="51" spans="1:10" x14ac:dyDescent="0.2">
      <c r="A51">
        <v>2.2619015297194802E-6</v>
      </c>
      <c r="B51">
        <v>-0.54112765572750998</v>
      </c>
      <c r="C51">
        <v>1.0999999999999999E-2</v>
      </c>
      <c r="D51">
        <v>0.24099999999999999</v>
      </c>
      <c r="E51">
        <v>3.5021021384646703E-2</v>
      </c>
      <c r="F51" t="s">
        <v>2731</v>
      </c>
      <c r="G51" t="s">
        <v>2732</v>
      </c>
      <c r="H51" t="s">
        <v>2731</v>
      </c>
      <c r="I51" t="str">
        <f>HYPERLINK("https://zfin.org/ZDB-GENE-000125-4")</f>
        <v>https://zfin.org/ZDB-GENE-000125-4</v>
      </c>
      <c r="J51" t="s">
        <v>2730</v>
      </c>
    </row>
    <row r="52" spans="1:10" x14ac:dyDescent="0.2">
      <c r="A52">
        <v>2.3694617474147799E-6</v>
      </c>
      <c r="B52">
        <v>-0.31214572324550999</v>
      </c>
      <c r="C52">
        <v>0.96799999999999997</v>
      </c>
      <c r="D52">
        <v>0.97499999999999998</v>
      </c>
      <c r="E52">
        <v>3.6686376235223001E-2</v>
      </c>
      <c r="F52" t="s">
        <v>285</v>
      </c>
      <c r="G52" t="s">
        <v>286</v>
      </c>
      <c r="H52" t="s">
        <v>285</v>
      </c>
      <c r="I52" t="str">
        <f>HYPERLINK("https://zfin.org/ZDB-GENE-030131-8626")</f>
        <v>https://zfin.org/ZDB-GENE-030131-8626</v>
      </c>
      <c r="J52" t="s">
        <v>287</v>
      </c>
    </row>
    <row r="53" spans="1:10" x14ac:dyDescent="0.2">
      <c r="A53">
        <v>2.46232072202614E-6</v>
      </c>
      <c r="B53">
        <v>-0.52739780285590399</v>
      </c>
      <c r="C53">
        <v>0</v>
      </c>
      <c r="D53">
        <v>0.215</v>
      </c>
      <c r="E53">
        <v>3.8124111739130703E-2</v>
      </c>
      <c r="F53" t="s">
        <v>2728</v>
      </c>
      <c r="G53" t="s">
        <v>2729</v>
      </c>
      <c r="H53" t="s">
        <v>2728</v>
      </c>
      <c r="I53" t="str">
        <f>HYPERLINK("https://zfin.org/ZDB-GENE-020228-2")</f>
        <v>https://zfin.org/ZDB-GENE-020228-2</v>
      </c>
      <c r="J53" t="s">
        <v>2727</v>
      </c>
    </row>
    <row r="54" spans="1:10" x14ac:dyDescent="0.2">
      <c r="A54">
        <v>2.7931101130773499E-6</v>
      </c>
      <c r="B54">
        <v>-0.30229264525583899</v>
      </c>
      <c r="C54">
        <v>0.98899999999999999</v>
      </c>
      <c r="D54">
        <v>1</v>
      </c>
      <c r="E54">
        <v>4.3245723880776597E-2</v>
      </c>
      <c r="F54" t="s">
        <v>255</v>
      </c>
      <c r="G54" t="s">
        <v>256</v>
      </c>
      <c r="H54" t="s">
        <v>255</v>
      </c>
      <c r="I54" t="str">
        <f>HYPERLINK("https://zfin.org/ZDB-GENE-030131-2022")</f>
        <v>https://zfin.org/ZDB-GENE-030131-2022</v>
      </c>
      <c r="J54" t="s">
        <v>257</v>
      </c>
    </row>
    <row r="55" spans="1:10" x14ac:dyDescent="0.2">
      <c r="A55">
        <v>3.0675330149583601E-6</v>
      </c>
      <c r="B55">
        <v>-0.61617331867963698</v>
      </c>
      <c r="C55">
        <v>2.1000000000000001E-2</v>
      </c>
      <c r="D55">
        <v>0.26600000000000001</v>
      </c>
      <c r="E55">
        <v>4.7494613670600302E-2</v>
      </c>
      <c r="F55" t="s">
        <v>2725</v>
      </c>
      <c r="G55" t="s">
        <v>2726</v>
      </c>
      <c r="H55" t="s">
        <v>2725</v>
      </c>
      <c r="I55" t="str">
        <f>HYPERLINK("https://zfin.org/ZDB-GENE-990415-277")</f>
        <v>https://zfin.org/ZDB-GENE-990415-277</v>
      </c>
      <c r="J55" t="s">
        <v>2724</v>
      </c>
    </row>
    <row r="56" spans="1:10" x14ac:dyDescent="0.2">
      <c r="A56">
        <v>3.23894880750534E-6</v>
      </c>
      <c r="B56">
        <v>-0.30624972954518098</v>
      </c>
      <c r="C56">
        <v>0.95699999999999996</v>
      </c>
      <c r="D56">
        <v>0.98699999999999999</v>
      </c>
      <c r="E56">
        <v>5.0148644386605101E-2</v>
      </c>
      <c r="F56" t="s">
        <v>1038</v>
      </c>
      <c r="G56" t="s">
        <v>1039</v>
      </c>
      <c r="H56" t="s">
        <v>1038</v>
      </c>
      <c r="I56" t="str">
        <f>HYPERLINK("https://zfin.org/ZDB-GENE-010724-15")</f>
        <v>https://zfin.org/ZDB-GENE-010724-15</v>
      </c>
      <c r="J56" t="s">
        <v>1037</v>
      </c>
    </row>
    <row r="57" spans="1:10" x14ac:dyDescent="0.2">
      <c r="A57">
        <v>3.6456132388193899E-6</v>
      </c>
      <c r="B57">
        <v>-0.33214808811644297</v>
      </c>
      <c r="C57">
        <v>0.97899999999999998</v>
      </c>
      <c r="D57">
        <v>1</v>
      </c>
      <c r="E57">
        <v>5.64450297766406E-2</v>
      </c>
      <c r="F57" t="s">
        <v>921</v>
      </c>
      <c r="G57" t="s">
        <v>922</v>
      </c>
      <c r="H57" t="s">
        <v>921</v>
      </c>
      <c r="I57" t="str">
        <f>HYPERLINK("https://zfin.org/ZDB-GENE-030131-8657")</f>
        <v>https://zfin.org/ZDB-GENE-030131-8657</v>
      </c>
      <c r="J57" t="s">
        <v>920</v>
      </c>
    </row>
    <row r="58" spans="1:10" x14ac:dyDescent="0.2">
      <c r="A58">
        <v>3.6457077296713999E-6</v>
      </c>
      <c r="B58">
        <v>-0.276849355636476</v>
      </c>
      <c r="C58">
        <v>0.98899999999999999</v>
      </c>
      <c r="D58">
        <v>1</v>
      </c>
      <c r="E58">
        <v>5.6446492778502298E-2</v>
      </c>
      <c r="F58" t="s">
        <v>1029</v>
      </c>
      <c r="G58" t="s">
        <v>1030</v>
      </c>
      <c r="H58" t="s">
        <v>1029</v>
      </c>
      <c r="I58" t="str">
        <f>HYPERLINK("https://zfin.org/ZDB-GENE-030131-1291")</f>
        <v>https://zfin.org/ZDB-GENE-030131-1291</v>
      </c>
      <c r="J58" t="s">
        <v>1028</v>
      </c>
    </row>
    <row r="59" spans="1:10" x14ac:dyDescent="0.2">
      <c r="A59">
        <v>4.0290850794091396E-6</v>
      </c>
      <c r="B59">
        <v>-0.38872096820931601</v>
      </c>
      <c r="C59">
        <v>0.91500000000000004</v>
      </c>
      <c r="D59">
        <v>0.96199999999999997</v>
      </c>
      <c r="E59">
        <v>6.2382324284491697E-2</v>
      </c>
      <c r="F59" t="s">
        <v>957</v>
      </c>
      <c r="G59" t="s">
        <v>958</v>
      </c>
      <c r="H59" t="s">
        <v>957</v>
      </c>
      <c r="I59" t="str">
        <f>HYPERLINK("https://zfin.org/ZDB-GENE-040426-1788")</f>
        <v>https://zfin.org/ZDB-GENE-040426-1788</v>
      </c>
      <c r="J59" t="s">
        <v>956</v>
      </c>
    </row>
    <row r="60" spans="1:10" x14ac:dyDescent="0.2">
      <c r="A60">
        <v>6.9367537955626802E-6</v>
      </c>
      <c r="B60">
        <v>-0.65432252616315401</v>
      </c>
      <c r="C60">
        <v>0.18099999999999999</v>
      </c>
      <c r="D60">
        <v>0.49399999999999999</v>
      </c>
      <c r="E60">
        <v>0.107401759016697</v>
      </c>
      <c r="F60" t="s">
        <v>1388</v>
      </c>
      <c r="G60" t="s">
        <v>1389</v>
      </c>
      <c r="H60" t="s">
        <v>1388</v>
      </c>
      <c r="I60" t="str">
        <f>HYPERLINK("https://zfin.org/ZDB-GENE-041210-181")</f>
        <v>https://zfin.org/ZDB-GENE-041210-181</v>
      </c>
      <c r="J60" t="s">
        <v>1387</v>
      </c>
    </row>
    <row r="61" spans="1:10" x14ac:dyDescent="0.2">
      <c r="A61">
        <v>7.8840337364952896E-6</v>
      </c>
      <c r="B61">
        <v>-0.88762930195676204</v>
      </c>
      <c r="C61">
        <v>0.128</v>
      </c>
      <c r="D61">
        <v>0.39200000000000002</v>
      </c>
      <c r="E61">
        <v>0.122068494342157</v>
      </c>
      <c r="F61" t="s">
        <v>933</v>
      </c>
      <c r="G61" t="s">
        <v>934</v>
      </c>
      <c r="H61" t="s">
        <v>933</v>
      </c>
      <c r="I61" t="str">
        <f>HYPERLINK("https://zfin.org/ZDB-GENE-030925-31")</f>
        <v>https://zfin.org/ZDB-GENE-030925-31</v>
      </c>
      <c r="J61" t="s">
        <v>932</v>
      </c>
    </row>
    <row r="62" spans="1:10" x14ac:dyDescent="0.2">
      <c r="A62">
        <v>8.24075459561048E-6</v>
      </c>
      <c r="B62">
        <v>-0.44476808786713501</v>
      </c>
      <c r="C62">
        <v>0.83</v>
      </c>
      <c r="D62">
        <v>0.94899999999999995</v>
      </c>
      <c r="E62">
        <v>0.12759160340383699</v>
      </c>
      <c r="F62" t="s">
        <v>887</v>
      </c>
      <c r="G62" t="s">
        <v>888</v>
      </c>
      <c r="H62" t="s">
        <v>887</v>
      </c>
      <c r="I62" t="str">
        <f>HYPERLINK("https://zfin.org/ZDB-GENE-051023-7")</f>
        <v>https://zfin.org/ZDB-GENE-051023-7</v>
      </c>
      <c r="J62" t="s">
        <v>886</v>
      </c>
    </row>
    <row r="63" spans="1:10" x14ac:dyDescent="0.2">
      <c r="A63">
        <v>8.7191566312560701E-6</v>
      </c>
      <c r="B63">
        <v>-0.70337246982165202</v>
      </c>
      <c r="C63">
        <v>0.17</v>
      </c>
      <c r="D63">
        <v>0.45600000000000002</v>
      </c>
      <c r="E63">
        <v>0.13499870212173801</v>
      </c>
      <c r="F63" t="s">
        <v>2722</v>
      </c>
      <c r="G63" t="s">
        <v>2723</v>
      </c>
      <c r="H63" t="s">
        <v>2722</v>
      </c>
      <c r="I63" t="str">
        <f>HYPERLINK("https://zfin.org/ZDB-GENE-980526-466")</f>
        <v>https://zfin.org/ZDB-GENE-980526-466</v>
      </c>
      <c r="J63" t="s">
        <v>2721</v>
      </c>
    </row>
    <row r="64" spans="1:10" x14ac:dyDescent="0.2">
      <c r="A64">
        <v>1.0712144226573901E-5</v>
      </c>
      <c r="B64">
        <v>-0.27586180674424399</v>
      </c>
      <c r="C64">
        <v>0.93600000000000005</v>
      </c>
      <c r="D64">
        <v>0.97499999999999998</v>
      </c>
      <c r="E64">
        <v>0.16585612906004399</v>
      </c>
      <c r="F64" t="s">
        <v>972</v>
      </c>
      <c r="G64" t="s">
        <v>973</v>
      </c>
      <c r="H64" t="s">
        <v>972</v>
      </c>
      <c r="I64" t="str">
        <f>HYPERLINK("https://zfin.org/ZDB-GENE-030131-8756")</f>
        <v>https://zfin.org/ZDB-GENE-030131-8756</v>
      </c>
      <c r="J64" t="s">
        <v>971</v>
      </c>
    </row>
    <row r="65" spans="1:10" x14ac:dyDescent="0.2">
      <c r="A65">
        <v>1.0886634410178999E-5</v>
      </c>
      <c r="B65">
        <v>-0.50309517302189999</v>
      </c>
      <c r="C65">
        <v>0</v>
      </c>
      <c r="D65">
        <v>0.19</v>
      </c>
      <c r="E65">
        <v>0.168557760572802</v>
      </c>
      <c r="F65" t="s">
        <v>2719</v>
      </c>
      <c r="G65" t="s">
        <v>2720</v>
      </c>
      <c r="H65" t="s">
        <v>2719</v>
      </c>
      <c r="I65" t="str">
        <f>HYPERLINK("https://zfin.org/ZDB-GENE-060503-706")</f>
        <v>https://zfin.org/ZDB-GENE-060503-706</v>
      </c>
      <c r="J65" t="s">
        <v>2718</v>
      </c>
    </row>
    <row r="66" spans="1:10" x14ac:dyDescent="0.2">
      <c r="A66">
        <v>1.1314476571102601E-5</v>
      </c>
      <c r="B66">
        <v>-0.67884361125396797</v>
      </c>
      <c r="C66">
        <v>7.3999999999999996E-2</v>
      </c>
      <c r="D66">
        <v>0.34200000000000003</v>
      </c>
      <c r="E66">
        <v>0.17518204075038099</v>
      </c>
      <c r="F66" t="s">
        <v>2716</v>
      </c>
      <c r="G66" t="s">
        <v>2717</v>
      </c>
      <c r="H66" t="s">
        <v>2716</v>
      </c>
      <c r="I66" t="str">
        <f>HYPERLINK("https://zfin.org/ZDB-GENE-010803-2")</f>
        <v>https://zfin.org/ZDB-GENE-010803-2</v>
      </c>
      <c r="J66" t="s">
        <v>2715</v>
      </c>
    </row>
    <row r="67" spans="1:10" x14ac:dyDescent="0.2">
      <c r="A67">
        <v>1.22187905799803E-5</v>
      </c>
      <c r="B67">
        <v>-0.54964860759802403</v>
      </c>
      <c r="C67">
        <v>1.0999999999999999E-2</v>
      </c>
      <c r="D67">
        <v>0.215</v>
      </c>
      <c r="E67">
        <v>0.189183534549836</v>
      </c>
      <c r="F67" t="s">
        <v>2713</v>
      </c>
      <c r="G67" t="s">
        <v>2714</v>
      </c>
      <c r="H67" t="s">
        <v>2713</v>
      </c>
      <c r="I67" t="str">
        <f>HYPERLINK("https://zfin.org/ZDB-GENE-030131-4663")</f>
        <v>https://zfin.org/ZDB-GENE-030131-4663</v>
      </c>
      <c r="J67" t="s">
        <v>2712</v>
      </c>
    </row>
    <row r="68" spans="1:10" x14ac:dyDescent="0.2">
      <c r="A68">
        <v>1.39714604292015E-5</v>
      </c>
      <c r="B68">
        <v>-0.68550603779957497</v>
      </c>
      <c r="C68">
        <v>0.29799999999999999</v>
      </c>
      <c r="D68">
        <v>0.59499999999999997</v>
      </c>
      <c r="E68">
        <v>0.21632012182532701</v>
      </c>
      <c r="F68" t="s">
        <v>261</v>
      </c>
      <c r="G68" t="s">
        <v>262</v>
      </c>
      <c r="H68" t="s">
        <v>261</v>
      </c>
      <c r="I68" t="str">
        <f>HYPERLINK("https://zfin.org/ZDB-GENE-030131-2159")</f>
        <v>https://zfin.org/ZDB-GENE-030131-2159</v>
      </c>
      <c r="J68" t="s">
        <v>263</v>
      </c>
    </row>
    <row r="69" spans="1:10" x14ac:dyDescent="0.2">
      <c r="A69">
        <v>1.4273365795484799E-5</v>
      </c>
      <c r="B69">
        <v>-0.30399648465040802</v>
      </c>
      <c r="C69">
        <v>0.96799999999999997</v>
      </c>
      <c r="D69">
        <v>0.98699999999999999</v>
      </c>
      <c r="E69">
        <v>0.220994522611491</v>
      </c>
      <c r="F69" t="s">
        <v>1014</v>
      </c>
      <c r="G69" t="s">
        <v>1015</v>
      </c>
      <c r="H69" t="s">
        <v>1014</v>
      </c>
      <c r="I69" t="str">
        <f>HYPERLINK("https://zfin.org/ZDB-GENE-020419-20")</f>
        <v>https://zfin.org/ZDB-GENE-020419-20</v>
      </c>
      <c r="J69" t="s">
        <v>1013</v>
      </c>
    </row>
    <row r="70" spans="1:10" x14ac:dyDescent="0.2">
      <c r="A70">
        <v>1.4365100584288E-5</v>
      </c>
      <c r="B70">
        <v>-0.31529673242681999</v>
      </c>
      <c r="C70">
        <v>0.95699999999999996</v>
      </c>
      <c r="D70">
        <v>0.96199999999999997</v>
      </c>
      <c r="E70">
        <v>0.22241485234653099</v>
      </c>
      <c r="F70" t="s">
        <v>936</v>
      </c>
      <c r="G70" t="s">
        <v>937</v>
      </c>
      <c r="H70" t="s">
        <v>936</v>
      </c>
      <c r="I70" t="str">
        <f>HYPERLINK("https://zfin.org/ZDB-GENE-040801-8")</f>
        <v>https://zfin.org/ZDB-GENE-040801-8</v>
      </c>
      <c r="J70" t="s">
        <v>935</v>
      </c>
    </row>
    <row r="71" spans="1:10" x14ac:dyDescent="0.2">
      <c r="A71">
        <v>1.6164654789080598E-5</v>
      </c>
      <c r="B71">
        <v>-0.34390130844512001</v>
      </c>
      <c r="C71">
        <v>0.95699999999999996</v>
      </c>
      <c r="D71">
        <v>1</v>
      </c>
      <c r="E71">
        <v>0.25027735009933499</v>
      </c>
      <c r="F71" t="s">
        <v>909</v>
      </c>
      <c r="G71" t="s">
        <v>910</v>
      </c>
      <c r="H71" t="s">
        <v>909</v>
      </c>
      <c r="I71" t="str">
        <f>HYPERLINK("https://zfin.org/ZDB-GENE-040426-1481")</f>
        <v>https://zfin.org/ZDB-GENE-040426-1481</v>
      </c>
      <c r="J71" t="s">
        <v>908</v>
      </c>
    </row>
    <row r="72" spans="1:10" x14ac:dyDescent="0.2">
      <c r="A72">
        <v>1.6722576031349702E-5</v>
      </c>
      <c r="B72">
        <v>-0.32472055768673902</v>
      </c>
      <c r="C72">
        <v>0.93600000000000005</v>
      </c>
      <c r="D72">
        <v>0.98699999999999999</v>
      </c>
      <c r="E72">
        <v>0.25891564469338801</v>
      </c>
      <c r="F72" t="s">
        <v>945</v>
      </c>
      <c r="G72" t="s">
        <v>946</v>
      </c>
      <c r="H72" t="s">
        <v>945</v>
      </c>
      <c r="I72" t="str">
        <f>HYPERLINK("https://zfin.org/ZDB-GENE-030131-8631")</f>
        <v>https://zfin.org/ZDB-GENE-030131-8631</v>
      </c>
      <c r="J72" t="s">
        <v>944</v>
      </c>
    </row>
    <row r="73" spans="1:10" x14ac:dyDescent="0.2">
      <c r="A73">
        <v>1.69335021551133E-5</v>
      </c>
      <c r="B73">
        <v>-0.30515755823075702</v>
      </c>
      <c r="C73">
        <v>0.93600000000000005</v>
      </c>
      <c r="D73">
        <v>0.94899999999999995</v>
      </c>
      <c r="E73">
        <v>0.26218141386761901</v>
      </c>
      <c r="F73" t="s">
        <v>981</v>
      </c>
      <c r="G73" t="s">
        <v>982</v>
      </c>
      <c r="H73" t="s">
        <v>981</v>
      </c>
      <c r="I73" t="str">
        <f>HYPERLINK("https://zfin.org/ZDB-GENE-040927-19")</f>
        <v>https://zfin.org/ZDB-GENE-040927-19</v>
      </c>
      <c r="J73" t="s">
        <v>980</v>
      </c>
    </row>
    <row r="74" spans="1:10" x14ac:dyDescent="0.2">
      <c r="A74">
        <v>1.8780203270319E-5</v>
      </c>
      <c r="B74">
        <v>-0.54383291846589599</v>
      </c>
      <c r="C74">
        <v>0.66</v>
      </c>
      <c r="D74">
        <v>0.84799999999999998</v>
      </c>
      <c r="E74">
        <v>0.29077388723434899</v>
      </c>
      <c r="F74" t="s">
        <v>2710</v>
      </c>
      <c r="G74" t="s">
        <v>2711</v>
      </c>
      <c r="H74" t="s">
        <v>2710</v>
      </c>
      <c r="I74" t="str">
        <f>HYPERLINK("https://zfin.org/ZDB-GENE-030131-8398")</f>
        <v>https://zfin.org/ZDB-GENE-030131-8398</v>
      </c>
      <c r="J74" t="s">
        <v>2709</v>
      </c>
    </row>
    <row r="75" spans="1:10" x14ac:dyDescent="0.2">
      <c r="A75">
        <v>1.9603613782303301E-5</v>
      </c>
      <c r="B75">
        <v>-0.30124005866251302</v>
      </c>
      <c r="C75">
        <v>0.90400000000000003</v>
      </c>
      <c r="D75">
        <v>0.92400000000000004</v>
      </c>
      <c r="E75">
        <v>0.30352275219140301</v>
      </c>
      <c r="F75" t="s">
        <v>1008</v>
      </c>
      <c r="G75" t="s">
        <v>1009</v>
      </c>
      <c r="H75" t="s">
        <v>1008</v>
      </c>
      <c r="I75" t="str">
        <f>HYPERLINK("https://zfin.org/ZDB-GENE-020419-12")</f>
        <v>https://zfin.org/ZDB-GENE-020419-12</v>
      </c>
      <c r="J75" t="s">
        <v>1007</v>
      </c>
    </row>
    <row r="76" spans="1:10" x14ac:dyDescent="0.2">
      <c r="A76">
        <v>2.3753721777585499E-5</v>
      </c>
      <c r="B76">
        <v>-0.68645158827811004</v>
      </c>
      <c r="C76">
        <v>0.21299999999999999</v>
      </c>
      <c r="D76">
        <v>0.48099999999999998</v>
      </c>
      <c r="E76">
        <v>0.367778874282357</v>
      </c>
      <c r="F76" t="s">
        <v>2707</v>
      </c>
      <c r="G76" t="s">
        <v>2708</v>
      </c>
      <c r="H76" t="s">
        <v>2707</v>
      </c>
      <c r="I76" t="str">
        <f>HYPERLINK("https://zfin.org/ZDB-GENE-030828-5")</f>
        <v>https://zfin.org/ZDB-GENE-030828-5</v>
      </c>
      <c r="J76" t="s">
        <v>2706</v>
      </c>
    </row>
    <row r="77" spans="1:10" x14ac:dyDescent="0.2">
      <c r="A77">
        <v>2.41146212224108E-5</v>
      </c>
      <c r="B77">
        <v>-0.32521243109150999</v>
      </c>
      <c r="C77">
        <v>4.2999999999999997E-2</v>
      </c>
      <c r="D77">
        <v>0.27800000000000002</v>
      </c>
      <c r="E77">
        <v>0.37336668038658699</v>
      </c>
      <c r="F77" t="s">
        <v>2704</v>
      </c>
      <c r="G77" t="s">
        <v>2705</v>
      </c>
      <c r="H77" t="s">
        <v>2704</v>
      </c>
      <c r="I77" t="str">
        <f>HYPERLINK("https://zfin.org/ZDB-GENE-070911-3")</f>
        <v>https://zfin.org/ZDB-GENE-070911-3</v>
      </c>
      <c r="J77" t="s">
        <v>2703</v>
      </c>
    </row>
    <row r="78" spans="1:10" x14ac:dyDescent="0.2">
      <c r="A78">
        <v>2.4648063946629E-5</v>
      </c>
      <c r="B78">
        <v>-0.81628387404153602</v>
      </c>
      <c r="C78">
        <v>0.23400000000000001</v>
      </c>
      <c r="D78">
        <v>0.49399999999999999</v>
      </c>
      <c r="E78">
        <v>0.38162597408565702</v>
      </c>
      <c r="F78" t="s">
        <v>2701</v>
      </c>
      <c r="G78" t="s">
        <v>2702</v>
      </c>
      <c r="H78" t="s">
        <v>2701</v>
      </c>
      <c r="I78" t="str">
        <f>HYPERLINK("https://zfin.org/ZDB-GENE-050208-448")</f>
        <v>https://zfin.org/ZDB-GENE-050208-448</v>
      </c>
      <c r="J78" t="s">
        <v>2700</v>
      </c>
    </row>
    <row r="79" spans="1:10" x14ac:dyDescent="0.2">
      <c r="A79">
        <v>2.75558403219096E-5</v>
      </c>
      <c r="B79">
        <v>-0.65405390630874505</v>
      </c>
      <c r="C79">
        <v>5.2999999999999999E-2</v>
      </c>
      <c r="D79">
        <v>0.27800000000000002</v>
      </c>
      <c r="E79">
        <v>0.42664707570412602</v>
      </c>
      <c r="F79" t="s">
        <v>2698</v>
      </c>
      <c r="G79" t="s">
        <v>2699</v>
      </c>
      <c r="H79" t="s">
        <v>2698</v>
      </c>
      <c r="I79" t="str">
        <f>HYPERLINK("https://zfin.org/ZDB-GENE-041111-281")</f>
        <v>https://zfin.org/ZDB-GENE-041111-281</v>
      </c>
      <c r="J79" t="s">
        <v>2697</v>
      </c>
    </row>
    <row r="80" spans="1:10" x14ac:dyDescent="0.2">
      <c r="A80">
        <v>2.83819438393914E-5</v>
      </c>
      <c r="B80">
        <v>-0.65497359979933201</v>
      </c>
      <c r="C80">
        <v>0.38300000000000001</v>
      </c>
      <c r="D80">
        <v>0.64600000000000002</v>
      </c>
      <c r="E80">
        <v>0.43943763646529699</v>
      </c>
      <c r="F80" t="s">
        <v>2695</v>
      </c>
      <c r="G80" t="s">
        <v>2696</v>
      </c>
      <c r="H80" t="s">
        <v>2695</v>
      </c>
      <c r="I80" t="str">
        <f>HYPERLINK("https://zfin.org/ZDB-GENE-020419-5")</f>
        <v>https://zfin.org/ZDB-GENE-020419-5</v>
      </c>
      <c r="J80" t="s">
        <v>2694</v>
      </c>
    </row>
    <row r="81" spans="1:10" x14ac:dyDescent="0.2">
      <c r="A81">
        <v>2.85953491203218E-5</v>
      </c>
      <c r="B81">
        <v>-0.27567193706765503</v>
      </c>
      <c r="C81">
        <v>0.96799999999999997</v>
      </c>
      <c r="D81">
        <v>0.93700000000000006</v>
      </c>
      <c r="E81">
        <v>0.44274179042994199</v>
      </c>
      <c r="F81" t="s">
        <v>960</v>
      </c>
      <c r="G81" t="s">
        <v>961</v>
      </c>
      <c r="H81" t="s">
        <v>960</v>
      </c>
      <c r="I81" t="str">
        <f>HYPERLINK("https://zfin.org/ZDB-GENE-050506-107")</f>
        <v>https://zfin.org/ZDB-GENE-050506-107</v>
      </c>
      <c r="J81" t="s">
        <v>959</v>
      </c>
    </row>
    <row r="82" spans="1:10" x14ac:dyDescent="0.2">
      <c r="A82">
        <v>3.00584567188903E-5</v>
      </c>
      <c r="B82">
        <v>-0.36575474389016199</v>
      </c>
      <c r="C82">
        <v>3.2000000000000001E-2</v>
      </c>
      <c r="D82">
        <v>0.253</v>
      </c>
      <c r="E82">
        <v>0.46539508537857799</v>
      </c>
      <c r="F82" t="s">
        <v>2692</v>
      </c>
      <c r="G82" t="s">
        <v>2693</v>
      </c>
      <c r="H82" t="s">
        <v>2692</v>
      </c>
      <c r="I82" t="str">
        <f>HYPERLINK("https://zfin.org/ZDB-GENE-030131-2912")</f>
        <v>https://zfin.org/ZDB-GENE-030131-2912</v>
      </c>
      <c r="J82" t="s">
        <v>2691</v>
      </c>
    </row>
    <row r="83" spans="1:10" x14ac:dyDescent="0.2">
      <c r="A83">
        <v>3.1391706835431201E-5</v>
      </c>
      <c r="B83">
        <v>-0.55382991031783402</v>
      </c>
      <c r="C83">
        <v>0.23400000000000001</v>
      </c>
      <c r="D83">
        <v>0.51900000000000002</v>
      </c>
      <c r="E83">
        <v>0.48603779693298099</v>
      </c>
      <c r="F83" t="s">
        <v>2689</v>
      </c>
      <c r="G83" t="s">
        <v>2690</v>
      </c>
      <c r="H83" t="s">
        <v>2689</v>
      </c>
      <c r="I83" t="str">
        <f>HYPERLINK("https://zfin.org/ZDB-GENE-040426-2609")</f>
        <v>https://zfin.org/ZDB-GENE-040426-2609</v>
      </c>
      <c r="J83" t="s">
        <v>2688</v>
      </c>
    </row>
    <row r="84" spans="1:10" x14ac:dyDescent="0.2">
      <c r="A84">
        <v>3.1547054538618198E-5</v>
      </c>
      <c r="B84">
        <v>-0.33440317877169501</v>
      </c>
      <c r="C84">
        <v>0.89400000000000002</v>
      </c>
      <c r="D84">
        <v>0.97499999999999998</v>
      </c>
      <c r="E84">
        <v>0.48844304542142503</v>
      </c>
      <c r="F84" t="s">
        <v>948</v>
      </c>
      <c r="G84" t="s">
        <v>949</v>
      </c>
      <c r="H84" t="s">
        <v>948</v>
      </c>
      <c r="I84" t="str">
        <f>HYPERLINK("https://zfin.org/ZDB-GENE-030131-10018")</f>
        <v>https://zfin.org/ZDB-GENE-030131-10018</v>
      </c>
      <c r="J84" t="s">
        <v>947</v>
      </c>
    </row>
    <row r="85" spans="1:10" x14ac:dyDescent="0.2">
      <c r="A85">
        <v>3.2265540697423003E-5</v>
      </c>
      <c r="B85">
        <v>-0.69684157032722105</v>
      </c>
      <c r="C85">
        <v>0.223</v>
      </c>
      <c r="D85">
        <v>0.49399999999999999</v>
      </c>
      <c r="E85">
        <v>0.4995673666182</v>
      </c>
      <c r="F85" t="s">
        <v>2686</v>
      </c>
      <c r="G85" t="s">
        <v>2687</v>
      </c>
      <c r="H85" t="s">
        <v>2686</v>
      </c>
      <c r="I85" t="str">
        <f>HYPERLINK("https://zfin.org/ZDB-GENE-030131-475")</f>
        <v>https://zfin.org/ZDB-GENE-030131-475</v>
      </c>
      <c r="J85" t="s">
        <v>2685</v>
      </c>
    </row>
    <row r="86" spans="1:10" x14ac:dyDescent="0.2">
      <c r="A86">
        <v>3.2714875791333401E-5</v>
      </c>
      <c r="B86">
        <v>-0.26693723110768403</v>
      </c>
      <c r="C86">
        <v>0.98899999999999999</v>
      </c>
      <c r="D86">
        <v>0.98699999999999999</v>
      </c>
      <c r="E86">
        <v>0.50652442187721503</v>
      </c>
      <c r="F86" t="s">
        <v>1050</v>
      </c>
      <c r="G86" t="s">
        <v>1051</v>
      </c>
      <c r="H86" t="s">
        <v>1050</v>
      </c>
      <c r="I86" t="str">
        <f>HYPERLINK("https://zfin.org/ZDB-GENE-040426-1716")</f>
        <v>https://zfin.org/ZDB-GENE-040426-1716</v>
      </c>
      <c r="J86" t="s">
        <v>1049</v>
      </c>
    </row>
    <row r="87" spans="1:10" x14ac:dyDescent="0.2">
      <c r="A87">
        <v>3.5176248843224899E-5</v>
      </c>
      <c r="B87">
        <v>-0.39312185903945002</v>
      </c>
      <c r="C87">
        <v>0.83</v>
      </c>
      <c r="D87">
        <v>0.88600000000000001</v>
      </c>
      <c r="E87">
        <v>0.54463386083965004</v>
      </c>
      <c r="F87" t="s">
        <v>2458</v>
      </c>
      <c r="G87" t="s">
        <v>2459</v>
      </c>
      <c r="H87" t="s">
        <v>2458</v>
      </c>
      <c r="I87" t="str">
        <f>HYPERLINK("https://zfin.org/ZDB-GENE-040426-1852")</f>
        <v>https://zfin.org/ZDB-GENE-040426-1852</v>
      </c>
      <c r="J87" t="s">
        <v>2457</v>
      </c>
    </row>
    <row r="88" spans="1:10" x14ac:dyDescent="0.2">
      <c r="A88">
        <v>3.8603048651962799E-5</v>
      </c>
      <c r="B88">
        <v>-0.308142544031073</v>
      </c>
      <c r="C88">
        <v>0.95699999999999996</v>
      </c>
      <c r="D88">
        <v>0.97499999999999998</v>
      </c>
      <c r="E88">
        <v>0.59769100227834004</v>
      </c>
      <c r="F88" t="s">
        <v>984</v>
      </c>
      <c r="G88" t="s">
        <v>985</v>
      </c>
      <c r="H88" t="s">
        <v>984</v>
      </c>
      <c r="I88" t="str">
        <f>HYPERLINK("https://zfin.org/ZDB-GENE-030131-8512")</f>
        <v>https://zfin.org/ZDB-GENE-030131-8512</v>
      </c>
      <c r="J88" t="s">
        <v>983</v>
      </c>
    </row>
    <row r="89" spans="1:10" x14ac:dyDescent="0.2">
      <c r="A89">
        <v>4.04389656841572E-5</v>
      </c>
      <c r="B89">
        <v>-0.25698350769129402</v>
      </c>
      <c r="C89">
        <v>0.98899999999999999</v>
      </c>
      <c r="D89">
        <v>0.96199999999999997</v>
      </c>
      <c r="E89">
        <v>0.62611650568780697</v>
      </c>
      <c r="F89" t="s">
        <v>999</v>
      </c>
      <c r="G89" t="s">
        <v>1000</v>
      </c>
      <c r="H89" t="s">
        <v>999</v>
      </c>
      <c r="I89" t="str">
        <f>HYPERLINK("https://zfin.org/ZDB-GENE-040426-1071")</f>
        <v>https://zfin.org/ZDB-GENE-040426-1071</v>
      </c>
      <c r="J89" t="s">
        <v>998</v>
      </c>
    </row>
    <row r="90" spans="1:10" x14ac:dyDescent="0.2">
      <c r="A90">
        <v>4.34945000586463E-5</v>
      </c>
      <c r="B90">
        <v>-0.63242731482006698</v>
      </c>
      <c r="C90">
        <v>0.36199999999999999</v>
      </c>
      <c r="D90">
        <v>0.59499999999999997</v>
      </c>
      <c r="E90">
        <v>0.67342534440802004</v>
      </c>
      <c r="F90" t="s">
        <v>2683</v>
      </c>
      <c r="G90" t="s">
        <v>2684</v>
      </c>
      <c r="H90" t="s">
        <v>2683</v>
      </c>
      <c r="I90" t="str">
        <f>HYPERLINK("https://zfin.org/ZDB-GENE-040912-91")</f>
        <v>https://zfin.org/ZDB-GENE-040912-91</v>
      </c>
      <c r="J90" t="s">
        <v>2682</v>
      </c>
    </row>
    <row r="91" spans="1:10" x14ac:dyDescent="0.2">
      <c r="A91">
        <v>4.5214803025191398E-5</v>
      </c>
      <c r="B91">
        <v>-0.27520519404147697</v>
      </c>
      <c r="C91">
        <v>0.96799999999999997</v>
      </c>
      <c r="D91">
        <v>0.97499999999999998</v>
      </c>
      <c r="E91">
        <v>0.70006079523903897</v>
      </c>
      <c r="F91" t="s">
        <v>890</v>
      </c>
      <c r="G91" t="s">
        <v>891</v>
      </c>
      <c r="H91" t="s">
        <v>890</v>
      </c>
      <c r="I91" t="str">
        <f>HYPERLINK("https://zfin.org/ZDB-GENE-050320-15")</f>
        <v>https://zfin.org/ZDB-GENE-050320-15</v>
      </c>
      <c r="J91" t="s">
        <v>889</v>
      </c>
    </row>
    <row r="92" spans="1:10" x14ac:dyDescent="0.2">
      <c r="A92">
        <v>4.9433799842061099E-5</v>
      </c>
      <c r="B92">
        <v>-0.44039292820748599</v>
      </c>
      <c r="C92">
        <v>8.5000000000000006E-2</v>
      </c>
      <c r="D92">
        <v>0.34200000000000003</v>
      </c>
      <c r="E92">
        <v>0.76538352295463197</v>
      </c>
      <c r="F92" t="s">
        <v>2680</v>
      </c>
      <c r="G92" t="s">
        <v>2681</v>
      </c>
      <c r="H92" t="s">
        <v>2680</v>
      </c>
      <c r="I92" t="str">
        <f>HYPERLINK("https://zfin.org/ZDB-GENE-030131-2220")</f>
        <v>https://zfin.org/ZDB-GENE-030131-2220</v>
      </c>
      <c r="J92" t="s">
        <v>2679</v>
      </c>
    </row>
    <row r="93" spans="1:10" x14ac:dyDescent="0.2">
      <c r="A93">
        <v>5.0619057764786801E-5</v>
      </c>
      <c r="B93">
        <v>-0.38281888619614601</v>
      </c>
      <c r="C93">
        <v>0.69099999999999995</v>
      </c>
      <c r="D93">
        <v>0.84799999999999998</v>
      </c>
      <c r="E93">
        <v>0.783734871372194</v>
      </c>
      <c r="F93" t="s">
        <v>2677</v>
      </c>
      <c r="G93" t="s">
        <v>2678</v>
      </c>
      <c r="H93" t="s">
        <v>2677</v>
      </c>
      <c r="I93" t="str">
        <f>HYPERLINK("https://zfin.org/ZDB-GENE-020806-4")</f>
        <v>https://zfin.org/ZDB-GENE-020806-4</v>
      </c>
      <c r="J93" t="s">
        <v>2676</v>
      </c>
    </row>
    <row r="94" spans="1:10" x14ac:dyDescent="0.2">
      <c r="A94">
        <v>6.20282367478278E-5</v>
      </c>
      <c r="B94">
        <v>-0.58818891012505103</v>
      </c>
      <c r="C94">
        <v>0.14899999999999999</v>
      </c>
      <c r="D94">
        <v>0.41799999999999998</v>
      </c>
      <c r="E94">
        <v>0.96038318956661906</v>
      </c>
      <c r="F94" t="s">
        <v>2674</v>
      </c>
      <c r="G94" t="s">
        <v>2675</v>
      </c>
      <c r="H94" t="s">
        <v>2674</v>
      </c>
      <c r="I94" t="str">
        <f>HYPERLINK("https://zfin.org/ZDB-GENE-030131-8325")</f>
        <v>https://zfin.org/ZDB-GENE-030131-8325</v>
      </c>
      <c r="J94" t="s">
        <v>2673</v>
      </c>
    </row>
    <row r="95" spans="1:10" x14ac:dyDescent="0.2">
      <c r="A95">
        <v>6.3799670586748203E-5</v>
      </c>
      <c r="B95">
        <v>-0.29546096025931001</v>
      </c>
      <c r="C95">
        <v>0.97899999999999998</v>
      </c>
      <c r="D95">
        <v>0.97499999999999998</v>
      </c>
      <c r="E95">
        <v>0.98781029969462197</v>
      </c>
      <c r="F95" t="s">
        <v>288</v>
      </c>
      <c r="G95" t="s">
        <v>289</v>
      </c>
      <c r="H95" t="s">
        <v>288</v>
      </c>
      <c r="I95" t="str">
        <f>HYPERLINK("https://zfin.org/ZDB-GENE-030131-8708")</f>
        <v>https://zfin.org/ZDB-GENE-030131-8708</v>
      </c>
      <c r="J95" t="s">
        <v>290</v>
      </c>
    </row>
    <row r="96" spans="1:10" x14ac:dyDescent="0.2">
      <c r="A96">
        <v>6.7586293167777801E-5</v>
      </c>
      <c r="B96">
        <v>-0.69730141734543305</v>
      </c>
      <c r="C96">
        <v>0.21299999999999999</v>
      </c>
      <c r="D96">
        <v>0.50600000000000001</v>
      </c>
      <c r="E96">
        <v>1</v>
      </c>
      <c r="F96" t="s">
        <v>2671</v>
      </c>
      <c r="G96" t="s">
        <v>2672</v>
      </c>
      <c r="H96" t="s">
        <v>2671</v>
      </c>
      <c r="I96" t="str">
        <f>HYPERLINK("https://zfin.org/ZDB-GENE-030131-8832")</f>
        <v>https://zfin.org/ZDB-GENE-030131-8832</v>
      </c>
      <c r="J96" t="s">
        <v>2670</v>
      </c>
    </row>
    <row r="97" spans="1:10" x14ac:dyDescent="0.2">
      <c r="A97">
        <v>7.0770426715267398E-5</v>
      </c>
      <c r="B97">
        <v>-0.527214877292283</v>
      </c>
      <c r="C97">
        <v>0.51100000000000001</v>
      </c>
      <c r="D97">
        <v>0.73399999999999999</v>
      </c>
      <c r="E97">
        <v>1</v>
      </c>
      <c r="F97" t="s">
        <v>2668</v>
      </c>
      <c r="G97" t="s">
        <v>2669</v>
      </c>
      <c r="H97" t="s">
        <v>2668</v>
      </c>
      <c r="I97" t="str">
        <f>HYPERLINK("https://zfin.org/ZDB-GENE-030131-693")</f>
        <v>https://zfin.org/ZDB-GENE-030131-693</v>
      </c>
      <c r="J97" t="s">
        <v>2667</v>
      </c>
    </row>
    <row r="98" spans="1:10" x14ac:dyDescent="0.2">
      <c r="A98">
        <v>7.2417144865748203E-5</v>
      </c>
      <c r="B98">
        <v>-0.50297992176211404</v>
      </c>
      <c r="C98">
        <v>4.2999999999999997E-2</v>
      </c>
      <c r="D98">
        <v>0.253</v>
      </c>
      <c r="E98">
        <v>1</v>
      </c>
      <c r="F98" t="s">
        <v>2665</v>
      </c>
      <c r="G98" t="s">
        <v>2666</v>
      </c>
      <c r="H98" t="s">
        <v>2665</v>
      </c>
      <c r="I98" t="str">
        <f>HYPERLINK("https://zfin.org/ZDB-GENE-050419-73")</f>
        <v>https://zfin.org/ZDB-GENE-050419-73</v>
      </c>
      <c r="J98" t="s">
        <v>2664</v>
      </c>
    </row>
    <row r="99" spans="1:10" x14ac:dyDescent="0.2">
      <c r="A99">
        <v>8.1345230659441906E-5</v>
      </c>
      <c r="B99">
        <v>-0.34225209953935698</v>
      </c>
      <c r="C99">
        <v>0.92600000000000005</v>
      </c>
      <c r="D99">
        <v>0.88600000000000001</v>
      </c>
      <c r="E99">
        <v>1</v>
      </c>
      <c r="F99" t="s">
        <v>927</v>
      </c>
      <c r="G99" t="s">
        <v>928</v>
      </c>
      <c r="H99" t="s">
        <v>927</v>
      </c>
      <c r="I99" t="str">
        <f>HYPERLINK("https://zfin.org/ZDB-GENE-040426-1706")</f>
        <v>https://zfin.org/ZDB-GENE-040426-1706</v>
      </c>
      <c r="J99" t="s">
        <v>926</v>
      </c>
    </row>
    <row r="100" spans="1:10" x14ac:dyDescent="0.2">
      <c r="A100">
        <v>8.4760510464209593E-5</v>
      </c>
      <c r="B100">
        <v>-0.49621588281103901</v>
      </c>
      <c r="C100">
        <v>0.59599999999999997</v>
      </c>
      <c r="D100">
        <v>0.75900000000000001</v>
      </c>
      <c r="E100">
        <v>1</v>
      </c>
      <c r="F100" t="s">
        <v>2663</v>
      </c>
      <c r="G100" t="s">
        <v>2662</v>
      </c>
      <c r="H100" t="s">
        <v>2661</v>
      </c>
      <c r="I100" t="str">
        <f>HYPERLINK("https://zfin.org/")</f>
        <v>https://zfin.org/</v>
      </c>
      <c r="J100" t="s">
        <v>2660</v>
      </c>
    </row>
    <row r="101" spans="1:10" x14ac:dyDescent="0.2">
      <c r="A101">
        <v>9.0943110529512002E-5</v>
      </c>
      <c r="B101">
        <v>-0.41621801429196098</v>
      </c>
      <c r="C101">
        <v>2.1000000000000001E-2</v>
      </c>
      <c r="D101">
        <v>0.20300000000000001</v>
      </c>
      <c r="E101">
        <v>1</v>
      </c>
      <c r="F101" t="s">
        <v>2658</v>
      </c>
      <c r="G101" t="s">
        <v>2659</v>
      </c>
      <c r="H101" t="s">
        <v>2658</v>
      </c>
      <c r="I101" t="str">
        <f>HYPERLINK("https://zfin.org/ZDB-GENE-030131-2804")</f>
        <v>https://zfin.org/ZDB-GENE-030131-2804</v>
      </c>
      <c r="J101" t="s">
        <v>2657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CBD05-2192-C04D-BBFB-262C076024D0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9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6.0118734562799899E-40</v>
      </c>
      <c r="B2">
        <v>1.35778048820946</v>
      </c>
      <c r="C2">
        <v>0.77700000000000002</v>
      </c>
      <c r="D2">
        <v>0.20699999999999999</v>
      </c>
      <c r="E2">
        <v>9.3081836723583103E-36</v>
      </c>
      <c r="F2" t="s">
        <v>2449</v>
      </c>
      <c r="G2" t="s">
        <v>2450</v>
      </c>
      <c r="H2" t="s">
        <v>2449</v>
      </c>
      <c r="I2" t="str">
        <f>HYPERLINK("https://zfin.org/ZDB-GENE-980526-112")</f>
        <v>https://zfin.org/ZDB-GENE-980526-112</v>
      </c>
      <c r="J2" t="s">
        <v>2448</v>
      </c>
    </row>
    <row r="3" spans="1:10" x14ac:dyDescent="0.2">
      <c r="A3">
        <v>9.7711634713175894E-33</v>
      </c>
      <c r="B3">
        <v>1.1733206357760899</v>
      </c>
      <c r="C3">
        <v>0.754</v>
      </c>
      <c r="D3">
        <v>0.26700000000000002</v>
      </c>
      <c r="E3">
        <v>1.5128692402641E-28</v>
      </c>
      <c r="F3" t="s">
        <v>1307</v>
      </c>
      <c r="G3" t="s">
        <v>1308</v>
      </c>
      <c r="H3" t="s">
        <v>1307</v>
      </c>
      <c r="I3" t="str">
        <f>HYPERLINK("https://zfin.org/ZDB-GENE-040801-218")</f>
        <v>https://zfin.org/ZDB-GENE-040801-218</v>
      </c>
      <c r="J3" t="s">
        <v>1306</v>
      </c>
    </row>
    <row r="4" spans="1:10" x14ac:dyDescent="0.2">
      <c r="A4">
        <v>2.0921475765350999E-31</v>
      </c>
      <c r="B4">
        <v>1.3548732640611101</v>
      </c>
      <c r="C4">
        <v>0.77700000000000002</v>
      </c>
      <c r="D4">
        <v>0.315</v>
      </c>
      <c r="E4">
        <v>3.2392720927492902E-27</v>
      </c>
      <c r="F4" t="s">
        <v>1391</v>
      </c>
      <c r="G4" t="s">
        <v>1392</v>
      </c>
      <c r="H4" t="s">
        <v>1391</v>
      </c>
      <c r="I4" t="str">
        <f>HYPERLINK("https://zfin.org/ZDB-GENE-040426-1430")</f>
        <v>https://zfin.org/ZDB-GENE-040426-1430</v>
      </c>
      <c r="J4" t="s">
        <v>1390</v>
      </c>
    </row>
    <row r="5" spans="1:10" x14ac:dyDescent="0.2">
      <c r="A5">
        <v>4.7642973885849396E-31</v>
      </c>
      <c r="B5">
        <v>0.95613022325022701</v>
      </c>
      <c r="C5">
        <v>0.99399999999999999</v>
      </c>
      <c r="D5">
        <v>0.95199999999999996</v>
      </c>
      <c r="E5">
        <v>7.37656164674607E-27</v>
      </c>
      <c r="F5" t="s">
        <v>177</v>
      </c>
      <c r="G5" t="s">
        <v>178</v>
      </c>
      <c r="H5" t="s">
        <v>177</v>
      </c>
      <c r="I5" t="str">
        <f>HYPERLINK("https://zfin.org/ZDB-GENE-111109-2")</f>
        <v>https://zfin.org/ZDB-GENE-111109-2</v>
      </c>
      <c r="J5" t="s">
        <v>179</v>
      </c>
    </row>
    <row r="6" spans="1:10" x14ac:dyDescent="0.2">
      <c r="A6">
        <v>5.9227062097123502E-28</v>
      </c>
      <c r="B6">
        <v>0.88271261557084402</v>
      </c>
      <c r="C6">
        <v>0.90500000000000003</v>
      </c>
      <c r="D6">
        <v>0.54100000000000004</v>
      </c>
      <c r="E6">
        <v>9.1701260244976395E-24</v>
      </c>
      <c r="F6" t="s">
        <v>1461</v>
      </c>
      <c r="G6" t="s">
        <v>1462</v>
      </c>
      <c r="H6" t="s">
        <v>1461</v>
      </c>
      <c r="I6" t="str">
        <f>HYPERLINK("https://zfin.org/ZDB-GENE-980605-16")</f>
        <v>https://zfin.org/ZDB-GENE-980605-16</v>
      </c>
      <c r="J6" t="s">
        <v>1460</v>
      </c>
    </row>
    <row r="7" spans="1:10" x14ac:dyDescent="0.2">
      <c r="A7">
        <v>1.2131054939925301E-25</v>
      </c>
      <c r="B7">
        <v>0.63074413196795498</v>
      </c>
      <c r="C7">
        <v>1</v>
      </c>
      <c r="D7">
        <v>0.88</v>
      </c>
      <c r="E7">
        <v>1.8782512363486399E-21</v>
      </c>
      <c r="F7" t="s">
        <v>2024</v>
      </c>
      <c r="G7" t="s">
        <v>2025</v>
      </c>
      <c r="H7" t="s">
        <v>2024</v>
      </c>
      <c r="I7" t="str">
        <f>HYPERLINK("https://zfin.org/ZDB-GENE-030411-5")</f>
        <v>https://zfin.org/ZDB-GENE-030411-5</v>
      </c>
      <c r="J7" t="s">
        <v>2023</v>
      </c>
    </row>
    <row r="8" spans="1:10" x14ac:dyDescent="0.2">
      <c r="A8">
        <v>2.1268161111087501E-24</v>
      </c>
      <c r="B8">
        <v>0.91402588008365704</v>
      </c>
      <c r="C8">
        <v>0.88300000000000001</v>
      </c>
      <c r="D8">
        <v>0.55000000000000004</v>
      </c>
      <c r="E8">
        <v>3.2929493848296902E-20</v>
      </c>
      <c r="F8" t="s">
        <v>1433</v>
      </c>
      <c r="G8" t="s">
        <v>1434</v>
      </c>
      <c r="H8" t="s">
        <v>1433</v>
      </c>
      <c r="I8" t="str">
        <f>HYPERLINK("https://zfin.org/ZDB-GENE-070720-11")</f>
        <v>https://zfin.org/ZDB-GENE-070720-11</v>
      </c>
      <c r="J8" t="s">
        <v>1432</v>
      </c>
    </row>
    <row r="9" spans="1:10" x14ac:dyDescent="0.2">
      <c r="A9">
        <v>8.1766197965213494E-24</v>
      </c>
      <c r="B9">
        <v>0.85365989387418495</v>
      </c>
      <c r="C9">
        <v>0.41899999999999998</v>
      </c>
      <c r="D9">
        <v>5.7000000000000002E-2</v>
      </c>
      <c r="E9">
        <v>1.2659860430954E-19</v>
      </c>
      <c r="F9" t="s">
        <v>2431</v>
      </c>
      <c r="G9" t="s">
        <v>2432</v>
      </c>
      <c r="H9" t="s">
        <v>2431</v>
      </c>
      <c r="I9" t="str">
        <f>HYPERLINK("https://zfin.org/ZDB-GENE-070424-1")</f>
        <v>https://zfin.org/ZDB-GENE-070424-1</v>
      </c>
      <c r="J9" t="s">
        <v>2430</v>
      </c>
    </row>
    <row r="10" spans="1:10" x14ac:dyDescent="0.2">
      <c r="A10">
        <v>6.71951244448038E-22</v>
      </c>
      <c r="B10">
        <v>0.80178020995869903</v>
      </c>
      <c r="C10">
        <v>0.88800000000000001</v>
      </c>
      <c r="D10">
        <v>0.57399999999999995</v>
      </c>
      <c r="E10">
        <v>1.0403821117788999E-17</v>
      </c>
      <c r="F10" t="s">
        <v>1683</v>
      </c>
      <c r="G10" t="s">
        <v>1684</v>
      </c>
      <c r="H10" t="s">
        <v>1683</v>
      </c>
      <c r="I10" t="str">
        <f>HYPERLINK("https://zfin.org/ZDB-GENE-030411-6")</f>
        <v>https://zfin.org/ZDB-GENE-030411-6</v>
      </c>
      <c r="J10" t="s">
        <v>1682</v>
      </c>
    </row>
    <row r="11" spans="1:10" x14ac:dyDescent="0.2">
      <c r="A11">
        <v>1.00258927480359E-20</v>
      </c>
      <c r="B11">
        <v>0.85311124693611495</v>
      </c>
      <c r="C11">
        <v>0.503</v>
      </c>
      <c r="D11">
        <v>0.123</v>
      </c>
      <c r="E11">
        <v>1.5523089741784001E-16</v>
      </c>
      <c r="F11" t="s">
        <v>2434</v>
      </c>
      <c r="G11" t="s">
        <v>2435</v>
      </c>
      <c r="H11" t="s">
        <v>2434</v>
      </c>
      <c r="I11" t="str">
        <f>HYPERLINK("https://zfin.org/ZDB-GENE-090313-161")</f>
        <v>https://zfin.org/ZDB-GENE-090313-161</v>
      </c>
      <c r="J11" t="s">
        <v>2433</v>
      </c>
    </row>
    <row r="12" spans="1:10" x14ac:dyDescent="0.2">
      <c r="A12">
        <v>1.25320065850846E-20</v>
      </c>
      <c r="B12">
        <v>1.0397156079112699</v>
      </c>
      <c r="C12">
        <v>0.52500000000000002</v>
      </c>
      <c r="D12">
        <v>0.14699999999999999</v>
      </c>
      <c r="E12">
        <v>1.9403305795686501E-16</v>
      </c>
      <c r="F12" t="s">
        <v>2425</v>
      </c>
      <c r="G12" t="s">
        <v>2426</v>
      </c>
      <c r="H12" t="s">
        <v>2425</v>
      </c>
      <c r="I12" t="str">
        <f>HYPERLINK("https://zfin.org/ZDB-GENE-070820-6")</f>
        <v>https://zfin.org/ZDB-GENE-070820-6</v>
      </c>
      <c r="J12" t="s">
        <v>2424</v>
      </c>
    </row>
    <row r="13" spans="1:10" x14ac:dyDescent="0.2">
      <c r="A13">
        <v>1.26381503736005E-20</v>
      </c>
      <c r="B13">
        <v>0.85293187790680003</v>
      </c>
      <c r="C13">
        <v>0.374</v>
      </c>
      <c r="D13">
        <v>5.3999999999999999E-2</v>
      </c>
      <c r="E13">
        <v>1.9567648223445601E-16</v>
      </c>
      <c r="F13" t="s">
        <v>2416</v>
      </c>
      <c r="G13" t="s">
        <v>2417</v>
      </c>
      <c r="H13" t="s">
        <v>2416</v>
      </c>
      <c r="I13" t="str">
        <f>HYPERLINK("https://zfin.org/ZDB-GENE-020320-4")</f>
        <v>https://zfin.org/ZDB-GENE-020320-4</v>
      </c>
      <c r="J13" t="s">
        <v>2415</v>
      </c>
    </row>
    <row r="14" spans="1:10" x14ac:dyDescent="0.2">
      <c r="A14">
        <v>5.9946047929780801E-20</v>
      </c>
      <c r="B14">
        <v>1.0111322122300901</v>
      </c>
      <c r="C14">
        <v>0.33</v>
      </c>
      <c r="D14">
        <v>3.9E-2</v>
      </c>
      <c r="E14">
        <v>9.2814466009679607E-16</v>
      </c>
      <c r="F14" t="s">
        <v>2343</v>
      </c>
      <c r="G14" t="s">
        <v>2344</v>
      </c>
      <c r="H14" t="s">
        <v>2343</v>
      </c>
      <c r="I14" t="str">
        <f>HYPERLINK("https://zfin.org/ZDB-GENE-000627-1")</f>
        <v>https://zfin.org/ZDB-GENE-000627-1</v>
      </c>
      <c r="J14" t="s">
        <v>2342</v>
      </c>
    </row>
    <row r="15" spans="1:10" x14ac:dyDescent="0.2">
      <c r="A15">
        <v>2.6989121443072602E-19</v>
      </c>
      <c r="B15">
        <v>0.78586793781717101</v>
      </c>
      <c r="C15">
        <v>0.872</v>
      </c>
      <c r="D15">
        <v>0.56799999999999995</v>
      </c>
      <c r="E15">
        <v>4.1787256730309298E-15</v>
      </c>
      <c r="F15" t="s">
        <v>1436</v>
      </c>
      <c r="G15" t="s">
        <v>1437</v>
      </c>
      <c r="H15" t="s">
        <v>1436</v>
      </c>
      <c r="I15" t="str">
        <f>HYPERLINK("https://zfin.org/ZDB-GENE-070112-292")</f>
        <v>https://zfin.org/ZDB-GENE-070112-292</v>
      </c>
      <c r="J15" t="s">
        <v>1435</v>
      </c>
    </row>
    <row r="16" spans="1:10" x14ac:dyDescent="0.2">
      <c r="A16">
        <v>1.4001503921886501E-16</v>
      </c>
      <c r="B16">
        <v>0.67508120221060997</v>
      </c>
      <c r="C16">
        <v>0.98899999999999999</v>
      </c>
      <c r="D16">
        <v>0.97599999999999998</v>
      </c>
      <c r="E16">
        <v>2.16785285222568E-12</v>
      </c>
      <c r="F16" t="s">
        <v>1485</v>
      </c>
      <c r="G16" t="s">
        <v>1486</v>
      </c>
      <c r="H16" t="s">
        <v>1485</v>
      </c>
      <c r="I16" t="str">
        <f>HYPERLINK("https://zfin.org/ZDB-GENE-070705-532")</f>
        <v>https://zfin.org/ZDB-GENE-070705-532</v>
      </c>
      <c r="J16" t="s">
        <v>1484</v>
      </c>
    </row>
    <row r="17" spans="1:10" x14ac:dyDescent="0.2">
      <c r="A17">
        <v>3.74609422117402E-15</v>
      </c>
      <c r="B17">
        <v>0.33543644399281197</v>
      </c>
      <c r="C17">
        <v>1</v>
      </c>
      <c r="D17">
        <v>1</v>
      </c>
      <c r="E17">
        <v>5.8000776826437399E-11</v>
      </c>
      <c r="F17" t="s">
        <v>13</v>
      </c>
      <c r="G17" t="s">
        <v>14</v>
      </c>
      <c r="H17" t="s">
        <v>13</v>
      </c>
      <c r="I17" t="str">
        <f>HYPERLINK("https://zfin.org/ZDB-GENE-130603-61")</f>
        <v>https://zfin.org/ZDB-GENE-130603-61</v>
      </c>
      <c r="J17" t="s">
        <v>15</v>
      </c>
    </row>
    <row r="18" spans="1:10" x14ac:dyDescent="0.2">
      <c r="A18">
        <v>7.0921368412478698E-15</v>
      </c>
      <c r="B18">
        <v>0.51823331038471299</v>
      </c>
      <c r="C18">
        <v>0.95499999999999996</v>
      </c>
      <c r="D18">
        <v>0.86199999999999999</v>
      </c>
      <c r="E18">
        <v>1.09807554713041E-10</v>
      </c>
      <c r="F18" t="s">
        <v>306</v>
      </c>
      <c r="G18" t="s">
        <v>307</v>
      </c>
      <c r="H18" t="s">
        <v>306</v>
      </c>
      <c r="I18" t="str">
        <f>HYPERLINK("https://zfin.org/ZDB-GENE-141215-49")</f>
        <v>https://zfin.org/ZDB-GENE-141215-49</v>
      </c>
      <c r="J18" t="s">
        <v>308</v>
      </c>
    </row>
    <row r="19" spans="1:10" x14ac:dyDescent="0.2">
      <c r="A19">
        <v>5.2020394509497599E-14</v>
      </c>
      <c r="B19">
        <v>0.460733650171889</v>
      </c>
      <c r="C19">
        <v>0.93300000000000005</v>
      </c>
      <c r="D19">
        <v>0.73899999999999999</v>
      </c>
      <c r="E19">
        <v>8.05431768190551E-10</v>
      </c>
      <c r="F19" t="s">
        <v>1415</v>
      </c>
      <c r="G19" t="s">
        <v>1416</v>
      </c>
      <c r="H19" t="s">
        <v>1415</v>
      </c>
      <c r="I19" t="str">
        <f>HYPERLINK("https://zfin.org/ZDB-GENE-030131-688")</f>
        <v>https://zfin.org/ZDB-GENE-030131-688</v>
      </c>
      <c r="J19" t="s">
        <v>1414</v>
      </c>
    </row>
    <row r="20" spans="1:10" x14ac:dyDescent="0.2">
      <c r="A20">
        <v>4.4189541979912502E-13</v>
      </c>
      <c r="B20">
        <v>0.58152084475985999</v>
      </c>
      <c r="C20">
        <v>0.27900000000000003</v>
      </c>
      <c r="D20">
        <v>5.0999999999999997E-2</v>
      </c>
      <c r="E20">
        <v>6.8418667847498599E-9</v>
      </c>
      <c r="F20" t="s">
        <v>2401</v>
      </c>
      <c r="G20" t="s">
        <v>2402</v>
      </c>
      <c r="H20" t="s">
        <v>2401</v>
      </c>
      <c r="I20" t="str">
        <f>HYPERLINK("https://zfin.org/ZDB-GENE-070112-2242")</f>
        <v>https://zfin.org/ZDB-GENE-070112-2242</v>
      </c>
      <c r="J20" t="s">
        <v>2400</v>
      </c>
    </row>
    <row r="21" spans="1:10" x14ac:dyDescent="0.2">
      <c r="A21">
        <v>2.0029475802990699E-12</v>
      </c>
      <c r="B21">
        <v>0.57170955946767299</v>
      </c>
      <c r="C21">
        <v>0.82099999999999995</v>
      </c>
      <c r="D21">
        <v>0.67300000000000004</v>
      </c>
      <c r="E21">
        <v>3.1011637385770502E-8</v>
      </c>
      <c r="F21" t="s">
        <v>1455</v>
      </c>
      <c r="G21" t="s">
        <v>1456</v>
      </c>
      <c r="H21" t="s">
        <v>1455</v>
      </c>
      <c r="I21" t="str">
        <f>HYPERLINK("https://zfin.org/")</f>
        <v>https://zfin.org/</v>
      </c>
    </row>
    <row r="22" spans="1:10" x14ac:dyDescent="0.2">
      <c r="A22">
        <v>2.1249839760898799E-12</v>
      </c>
      <c r="B22">
        <v>0.54035669613380599</v>
      </c>
      <c r="C22">
        <v>0.29099999999999998</v>
      </c>
      <c r="D22">
        <v>6.3E-2</v>
      </c>
      <c r="E22">
        <v>3.2901126901799601E-8</v>
      </c>
      <c r="F22" t="s">
        <v>2407</v>
      </c>
      <c r="G22" t="s">
        <v>2408</v>
      </c>
      <c r="H22" t="s">
        <v>2407</v>
      </c>
      <c r="I22" t="str">
        <f>HYPERLINK("https://zfin.org/ZDB-GENE-980526-260")</f>
        <v>https://zfin.org/ZDB-GENE-980526-260</v>
      </c>
      <c r="J22" t="s">
        <v>2406</v>
      </c>
    </row>
    <row r="23" spans="1:10" x14ac:dyDescent="0.2">
      <c r="A23">
        <v>3.9363187466242E-12</v>
      </c>
      <c r="B23">
        <v>0.59085419580766396</v>
      </c>
      <c r="C23">
        <v>0.86</v>
      </c>
      <c r="D23">
        <v>0.622</v>
      </c>
      <c r="E23">
        <v>6.0946023153982503E-8</v>
      </c>
      <c r="F23" t="s">
        <v>1629</v>
      </c>
      <c r="G23" t="s">
        <v>1630</v>
      </c>
      <c r="H23" t="s">
        <v>1629</v>
      </c>
      <c r="I23" t="str">
        <f>HYPERLINK("https://zfin.org/ZDB-GENE-070424-74")</f>
        <v>https://zfin.org/ZDB-GENE-070424-74</v>
      </c>
      <c r="J23" t="s">
        <v>1628</v>
      </c>
    </row>
    <row r="24" spans="1:10" x14ac:dyDescent="0.2">
      <c r="A24">
        <v>7.1396522602918E-12</v>
      </c>
      <c r="B24">
        <v>0.58833835031644499</v>
      </c>
      <c r="C24">
        <v>0.81</v>
      </c>
      <c r="D24">
        <v>0.52600000000000002</v>
      </c>
      <c r="E24">
        <v>1.1054323594609799E-7</v>
      </c>
      <c r="F24" t="s">
        <v>797</v>
      </c>
      <c r="G24" t="s">
        <v>798</v>
      </c>
      <c r="H24" t="s">
        <v>797</v>
      </c>
      <c r="I24" t="str">
        <f>HYPERLINK("https://zfin.org/ZDB-GENE-020910-1")</f>
        <v>https://zfin.org/ZDB-GENE-020910-1</v>
      </c>
      <c r="J24" t="s">
        <v>796</v>
      </c>
    </row>
    <row r="25" spans="1:10" x14ac:dyDescent="0.2">
      <c r="A25">
        <v>2.6642300047501801E-11</v>
      </c>
      <c r="B25">
        <v>0.59869611682603097</v>
      </c>
      <c r="C25">
        <v>0.43</v>
      </c>
      <c r="D25">
        <v>0.17100000000000001</v>
      </c>
      <c r="E25">
        <v>4.1250273163546998E-7</v>
      </c>
      <c r="F25" t="s">
        <v>2437</v>
      </c>
      <c r="G25" t="s">
        <v>2438</v>
      </c>
      <c r="H25" t="s">
        <v>2437</v>
      </c>
      <c r="I25" t="str">
        <f>HYPERLINK("https://zfin.org/ZDB-GENE-080215-10")</f>
        <v>https://zfin.org/ZDB-GENE-080215-10</v>
      </c>
      <c r="J25" t="s">
        <v>2436</v>
      </c>
    </row>
    <row r="26" spans="1:10" x14ac:dyDescent="0.2">
      <c r="A26">
        <v>4.3393786070225501E-11</v>
      </c>
      <c r="B26">
        <v>0.36496102777204897</v>
      </c>
      <c r="C26">
        <v>0.98299999999999998</v>
      </c>
      <c r="D26">
        <v>0.94599999999999995</v>
      </c>
      <c r="E26">
        <v>6.7186598972530103E-7</v>
      </c>
      <c r="F26" t="s">
        <v>73</v>
      </c>
      <c r="G26" t="s">
        <v>74</v>
      </c>
      <c r="H26" t="s">
        <v>73</v>
      </c>
      <c r="I26" t="str">
        <f>HYPERLINK("https://zfin.org/ZDB-GENE-050522-73")</f>
        <v>https://zfin.org/ZDB-GENE-050522-73</v>
      </c>
      <c r="J26" t="s">
        <v>75</v>
      </c>
    </row>
    <row r="27" spans="1:10" x14ac:dyDescent="0.2">
      <c r="A27">
        <v>4.4268051139452698E-11</v>
      </c>
      <c r="B27">
        <v>0.74332239829160995</v>
      </c>
      <c r="C27">
        <v>0.626</v>
      </c>
      <c r="D27">
        <v>0.35699999999999998</v>
      </c>
      <c r="E27">
        <v>6.85402235792147E-7</v>
      </c>
      <c r="F27" t="s">
        <v>1409</v>
      </c>
      <c r="G27" t="s">
        <v>1410</v>
      </c>
      <c r="H27" t="s">
        <v>1409</v>
      </c>
      <c r="I27" t="str">
        <f>HYPERLINK("https://zfin.org/ZDB-GENE-040704-31")</f>
        <v>https://zfin.org/ZDB-GENE-040704-31</v>
      </c>
      <c r="J27" t="s">
        <v>1408</v>
      </c>
    </row>
    <row r="28" spans="1:10" x14ac:dyDescent="0.2">
      <c r="A28">
        <v>4.9574473158493001E-11</v>
      </c>
      <c r="B28">
        <v>0.67314933289440904</v>
      </c>
      <c r="C28">
        <v>0.497</v>
      </c>
      <c r="D28">
        <v>0.22800000000000001</v>
      </c>
      <c r="E28">
        <v>7.6756156791294703E-7</v>
      </c>
      <c r="F28" t="s">
        <v>2443</v>
      </c>
      <c r="G28" t="s">
        <v>2444</v>
      </c>
      <c r="H28" t="s">
        <v>2443</v>
      </c>
      <c r="I28" t="str">
        <f>HYPERLINK("https://zfin.org/ZDB-GENE-100921-8")</f>
        <v>https://zfin.org/ZDB-GENE-100921-8</v>
      </c>
      <c r="J28" t="s">
        <v>2442</v>
      </c>
    </row>
    <row r="29" spans="1:10" x14ac:dyDescent="0.2">
      <c r="A29">
        <v>1.0883112996871E-10</v>
      </c>
      <c r="B29">
        <v>0.63959470851568001</v>
      </c>
      <c r="C29">
        <v>0.40799999999999997</v>
      </c>
      <c r="D29">
        <v>0.17100000000000001</v>
      </c>
      <c r="E29">
        <v>1.68503238530554E-6</v>
      </c>
      <c r="F29" t="s">
        <v>2674</v>
      </c>
      <c r="G29" t="s">
        <v>2675</v>
      </c>
      <c r="H29" t="s">
        <v>2674</v>
      </c>
      <c r="I29" t="str">
        <f>HYPERLINK("https://zfin.org/ZDB-GENE-030131-8325")</f>
        <v>https://zfin.org/ZDB-GENE-030131-8325</v>
      </c>
      <c r="J29" t="s">
        <v>2673</v>
      </c>
    </row>
    <row r="30" spans="1:10" x14ac:dyDescent="0.2">
      <c r="A30">
        <v>1.1069720995246401E-10</v>
      </c>
      <c r="B30">
        <v>0.44378565537938403</v>
      </c>
      <c r="C30">
        <v>0.151</v>
      </c>
      <c r="D30">
        <v>8.9999999999999993E-3</v>
      </c>
      <c r="E30">
        <v>1.713924901694E-6</v>
      </c>
      <c r="F30" t="s">
        <v>2889</v>
      </c>
      <c r="G30" t="s">
        <v>2890</v>
      </c>
      <c r="H30" t="s">
        <v>2889</v>
      </c>
      <c r="I30" t="str">
        <f>HYPERLINK("https://zfin.org/ZDB-GENE-081022-193")</f>
        <v>https://zfin.org/ZDB-GENE-081022-193</v>
      </c>
      <c r="J30" t="s">
        <v>2888</v>
      </c>
    </row>
    <row r="31" spans="1:10" x14ac:dyDescent="0.2">
      <c r="A31">
        <v>2.8175887630928502E-10</v>
      </c>
      <c r="B31">
        <v>0.50845281641651796</v>
      </c>
      <c r="C31">
        <v>0.28499999999999998</v>
      </c>
      <c r="D31">
        <v>7.4999999999999997E-2</v>
      </c>
      <c r="E31">
        <v>4.3624726818966704E-6</v>
      </c>
      <c r="F31" t="s">
        <v>2886</v>
      </c>
      <c r="G31" t="s">
        <v>2887</v>
      </c>
      <c r="H31" t="s">
        <v>2886</v>
      </c>
      <c r="I31" t="str">
        <f>HYPERLINK("https://zfin.org/ZDB-GENE-030131-7209")</f>
        <v>https://zfin.org/ZDB-GENE-030131-7209</v>
      </c>
      <c r="J31" t="s">
        <v>2885</v>
      </c>
    </row>
    <row r="32" spans="1:10" x14ac:dyDescent="0.2">
      <c r="A32">
        <v>1.1346194126823699E-9</v>
      </c>
      <c r="B32">
        <v>0.51156368129084695</v>
      </c>
      <c r="C32">
        <v>0.218</v>
      </c>
      <c r="D32">
        <v>4.4999999999999998E-2</v>
      </c>
      <c r="E32">
        <v>1.7567312366561101E-5</v>
      </c>
      <c r="F32" t="s">
        <v>2314</v>
      </c>
      <c r="G32" t="s">
        <v>2315</v>
      </c>
      <c r="H32" t="s">
        <v>2314</v>
      </c>
      <c r="I32" t="str">
        <f>HYPERLINK("https://zfin.org/ZDB-GENE-040801-217")</f>
        <v>https://zfin.org/ZDB-GENE-040801-217</v>
      </c>
      <c r="J32" t="s">
        <v>2313</v>
      </c>
    </row>
    <row r="33" spans="1:10" x14ac:dyDescent="0.2">
      <c r="A33">
        <v>1.5151974657408499E-9</v>
      </c>
      <c r="B33">
        <v>0.414194523058178</v>
      </c>
      <c r="C33">
        <v>0.13400000000000001</v>
      </c>
      <c r="D33">
        <v>8.9999999999999993E-3</v>
      </c>
      <c r="E33">
        <v>2.3459802362065501E-5</v>
      </c>
      <c r="F33" t="s">
        <v>2883</v>
      </c>
      <c r="G33" t="s">
        <v>2884</v>
      </c>
      <c r="H33" t="s">
        <v>2883</v>
      </c>
      <c r="I33" t="str">
        <f>HYPERLINK("https://zfin.org/ZDB-GENE-000526-1")</f>
        <v>https://zfin.org/ZDB-GENE-000526-1</v>
      </c>
      <c r="J33" t="s">
        <v>2882</v>
      </c>
    </row>
    <row r="34" spans="1:10" x14ac:dyDescent="0.2">
      <c r="A34">
        <v>3.5393965340988301E-9</v>
      </c>
      <c r="B34">
        <v>0.54330040412929104</v>
      </c>
      <c r="C34">
        <v>0.251</v>
      </c>
      <c r="D34">
        <v>6.9000000000000006E-2</v>
      </c>
      <c r="E34">
        <v>5.4800476537452203E-5</v>
      </c>
      <c r="F34" t="s">
        <v>2392</v>
      </c>
      <c r="G34" t="s">
        <v>2393</v>
      </c>
      <c r="H34" t="s">
        <v>2392</v>
      </c>
      <c r="I34" t="str">
        <f>HYPERLINK("https://zfin.org/ZDB-GENE-070620-8")</f>
        <v>https://zfin.org/ZDB-GENE-070620-8</v>
      </c>
      <c r="J34" t="s">
        <v>2391</v>
      </c>
    </row>
    <row r="35" spans="1:10" x14ac:dyDescent="0.2">
      <c r="A35">
        <v>3.76334416223026E-9</v>
      </c>
      <c r="B35">
        <v>0.43933559668133099</v>
      </c>
      <c r="C35">
        <v>0.77100000000000002</v>
      </c>
      <c r="D35">
        <v>0.52</v>
      </c>
      <c r="E35">
        <v>5.8267857663811E-5</v>
      </c>
      <c r="F35" t="s">
        <v>1382</v>
      </c>
      <c r="G35" t="s">
        <v>1383</v>
      </c>
      <c r="H35" t="s">
        <v>1382</v>
      </c>
      <c r="I35" t="str">
        <f>HYPERLINK("https://zfin.org/ZDB-GENE-060929-568")</f>
        <v>https://zfin.org/ZDB-GENE-060929-568</v>
      </c>
      <c r="J35" t="s">
        <v>1381</v>
      </c>
    </row>
    <row r="36" spans="1:10" x14ac:dyDescent="0.2">
      <c r="A36">
        <v>1.2365454891008799E-8</v>
      </c>
      <c r="B36">
        <v>0.42430887592407601</v>
      </c>
      <c r="C36">
        <v>0.68200000000000005</v>
      </c>
      <c r="D36">
        <v>0.45</v>
      </c>
      <c r="E36">
        <v>1.9145433807748999E-4</v>
      </c>
      <c r="F36" t="s">
        <v>1400</v>
      </c>
      <c r="G36" t="s">
        <v>1401</v>
      </c>
      <c r="H36" t="s">
        <v>1400</v>
      </c>
      <c r="I36" t="str">
        <f>HYPERLINK("https://zfin.org/ZDB-GENE-030131-9149")</f>
        <v>https://zfin.org/ZDB-GENE-030131-9149</v>
      </c>
      <c r="J36" t="s">
        <v>1399</v>
      </c>
    </row>
    <row r="37" spans="1:10" x14ac:dyDescent="0.2">
      <c r="A37">
        <v>1.68803657381315E-8</v>
      </c>
      <c r="B37">
        <v>0.45064061873835398</v>
      </c>
      <c r="C37">
        <v>0.68700000000000006</v>
      </c>
      <c r="D37">
        <v>0.441</v>
      </c>
      <c r="E37">
        <v>2.6135870272348899E-4</v>
      </c>
      <c r="F37" t="s">
        <v>1421</v>
      </c>
      <c r="G37" t="s">
        <v>1422</v>
      </c>
      <c r="H37" t="s">
        <v>1421</v>
      </c>
      <c r="I37" t="str">
        <f>HYPERLINK("https://zfin.org/ZDB-GENE-070705-193")</f>
        <v>https://zfin.org/ZDB-GENE-070705-193</v>
      </c>
      <c r="J37" t="s">
        <v>1420</v>
      </c>
    </row>
    <row r="38" spans="1:10" x14ac:dyDescent="0.2">
      <c r="A38">
        <v>1.8045496539088501E-8</v>
      </c>
      <c r="B38">
        <v>0.49177591938552101</v>
      </c>
      <c r="C38">
        <v>0.82099999999999995</v>
      </c>
      <c r="D38">
        <v>0.67300000000000004</v>
      </c>
      <c r="E38">
        <v>2.7939842291470698E-4</v>
      </c>
      <c r="F38" t="s">
        <v>103</v>
      </c>
      <c r="G38" t="s">
        <v>104</v>
      </c>
      <c r="H38" t="s">
        <v>103</v>
      </c>
      <c r="I38" t="str">
        <f>HYPERLINK("https://zfin.org/ZDB-GENE-041121-18")</f>
        <v>https://zfin.org/ZDB-GENE-041121-18</v>
      </c>
      <c r="J38" t="s">
        <v>105</v>
      </c>
    </row>
    <row r="39" spans="1:10" x14ac:dyDescent="0.2">
      <c r="A39">
        <v>2.8501723579973601E-8</v>
      </c>
      <c r="B39">
        <v>0.50922451225989795</v>
      </c>
      <c r="C39">
        <v>0.59799999999999998</v>
      </c>
      <c r="D39">
        <v>0.34799999999999998</v>
      </c>
      <c r="E39">
        <v>4.41292186188732E-4</v>
      </c>
      <c r="F39" t="s">
        <v>1340</v>
      </c>
      <c r="G39" t="s">
        <v>1341</v>
      </c>
      <c r="H39" t="s">
        <v>1340</v>
      </c>
      <c r="I39" t="str">
        <f>HYPERLINK("https://zfin.org/ZDB-GENE-131121-141")</f>
        <v>https://zfin.org/ZDB-GENE-131121-141</v>
      </c>
      <c r="J39" t="s">
        <v>1339</v>
      </c>
    </row>
    <row r="40" spans="1:10" x14ac:dyDescent="0.2">
      <c r="A40">
        <v>3.4379381579092999E-8</v>
      </c>
      <c r="B40">
        <v>0.437694266168351</v>
      </c>
      <c r="C40">
        <v>0.497</v>
      </c>
      <c r="D40">
        <v>0.255</v>
      </c>
      <c r="E40">
        <v>5.32295964989097E-4</v>
      </c>
      <c r="F40" t="s">
        <v>2012</v>
      </c>
      <c r="G40" t="s">
        <v>2013</v>
      </c>
      <c r="H40" t="s">
        <v>2012</v>
      </c>
      <c r="I40" t="str">
        <f>HYPERLINK("https://zfin.org/ZDB-GENE-030131-8455")</f>
        <v>https://zfin.org/ZDB-GENE-030131-8455</v>
      </c>
      <c r="J40" t="s">
        <v>2011</v>
      </c>
    </row>
    <row r="41" spans="1:10" x14ac:dyDescent="0.2">
      <c r="A41">
        <v>4.0190494893504202E-8</v>
      </c>
      <c r="B41">
        <v>0.48384354711010202</v>
      </c>
      <c r="C41">
        <v>0.34599999999999997</v>
      </c>
      <c r="D41">
        <v>0.14099999999999999</v>
      </c>
      <c r="E41">
        <v>6.2226943243612603E-4</v>
      </c>
      <c r="F41" t="s">
        <v>2880</v>
      </c>
      <c r="G41" t="s">
        <v>2881</v>
      </c>
      <c r="H41" t="s">
        <v>2880</v>
      </c>
      <c r="I41" t="str">
        <f>HYPERLINK("https://zfin.org/ZDB-GENE-030131-5767")</f>
        <v>https://zfin.org/ZDB-GENE-030131-5767</v>
      </c>
      <c r="J41" t="s">
        <v>2879</v>
      </c>
    </row>
    <row r="42" spans="1:10" x14ac:dyDescent="0.2">
      <c r="A42">
        <v>4.5063932627827998E-8</v>
      </c>
      <c r="B42">
        <v>0.60426298200077799</v>
      </c>
      <c r="C42">
        <v>0.218</v>
      </c>
      <c r="D42">
        <v>0.06</v>
      </c>
      <c r="E42">
        <v>6.9772486887666001E-4</v>
      </c>
      <c r="F42" t="s">
        <v>2337</v>
      </c>
      <c r="G42" t="s">
        <v>2338</v>
      </c>
      <c r="H42" t="s">
        <v>2337</v>
      </c>
      <c r="I42" t="str">
        <f>HYPERLINK("https://zfin.org/ZDB-GENE-991110-22")</f>
        <v>https://zfin.org/ZDB-GENE-991110-22</v>
      </c>
      <c r="J42" t="s">
        <v>2336</v>
      </c>
    </row>
    <row r="43" spans="1:10" x14ac:dyDescent="0.2">
      <c r="A43">
        <v>5.0859180114704001E-8</v>
      </c>
      <c r="B43">
        <v>0.42168298591270298</v>
      </c>
      <c r="C43">
        <v>0.32400000000000001</v>
      </c>
      <c r="D43">
        <v>0.123</v>
      </c>
      <c r="E43">
        <v>7.8745268571596199E-4</v>
      </c>
      <c r="F43" t="s">
        <v>2422</v>
      </c>
      <c r="G43" t="s">
        <v>2423</v>
      </c>
      <c r="H43" t="s">
        <v>2422</v>
      </c>
      <c r="I43" t="str">
        <f>HYPERLINK("https://zfin.org/ZDB-GENE-111004-2")</f>
        <v>https://zfin.org/ZDB-GENE-111004-2</v>
      </c>
      <c r="J43" t="s">
        <v>2421</v>
      </c>
    </row>
    <row r="44" spans="1:10" x14ac:dyDescent="0.2">
      <c r="A44">
        <v>7.6835078313867798E-8</v>
      </c>
      <c r="B44">
        <v>0.39921998073824499</v>
      </c>
      <c r="C44">
        <v>0.112</v>
      </c>
      <c r="D44">
        <v>8.9999999999999993E-3</v>
      </c>
      <c r="E44">
        <v>1.1896375175336101E-3</v>
      </c>
      <c r="F44" t="s">
        <v>2877</v>
      </c>
      <c r="G44" t="s">
        <v>2878</v>
      </c>
      <c r="H44" t="s">
        <v>2877</v>
      </c>
      <c r="I44" t="str">
        <f>HYPERLINK("https://zfin.org/")</f>
        <v>https://zfin.org/</v>
      </c>
      <c r="J44" t="s">
        <v>2876</v>
      </c>
    </row>
    <row r="45" spans="1:10" x14ac:dyDescent="0.2">
      <c r="A45">
        <v>2.7961012205072602E-7</v>
      </c>
      <c r="B45">
        <v>0.42719649203149002</v>
      </c>
      <c r="C45">
        <v>0.60899999999999999</v>
      </c>
      <c r="D45">
        <v>0.41699999999999998</v>
      </c>
      <c r="E45">
        <v>4.3292035197113896E-3</v>
      </c>
      <c r="F45" t="s">
        <v>2874</v>
      </c>
      <c r="G45" t="s">
        <v>2875</v>
      </c>
      <c r="H45" t="s">
        <v>2874</v>
      </c>
      <c r="I45" t="str">
        <f>HYPERLINK("https://zfin.org/ZDB-GENE-040426-2379")</f>
        <v>https://zfin.org/ZDB-GENE-040426-2379</v>
      </c>
      <c r="J45" t="s">
        <v>2873</v>
      </c>
    </row>
    <row r="46" spans="1:10" x14ac:dyDescent="0.2">
      <c r="A46">
        <v>3.15404149667514E-7</v>
      </c>
      <c r="B46">
        <v>0.445799211140947</v>
      </c>
      <c r="C46">
        <v>0.67</v>
      </c>
      <c r="D46">
        <v>0.45</v>
      </c>
      <c r="E46">
        <v>4.8834024493021296E-3</v>
      </c>
      <c r="F46" t="s">
        <v>1388</v>
      </c>
      <c r="G46" t="s">
        <v>1389</v>
      </c>
      <c r="H46" t="s">
        <v>1388</v>
      </c>
      <c r="I46" t="str">
        <f>HYPERLINK("https://zfin.org/ZDB-GENE-041210-181")</f>
        <v>https://zfin.org/ZDB-GENE-041210-181</v>
      </c>
      <c r="J46" t="s">
        <v>1387</v>
      </c>
    </row>
    <row r="47" spans="1:10" x14ac:dyDescent="0.2">
      <c r="A47">
        <v>4.15929182969304E-7</v>
      </c>
      <c r="B47">
        <v>0.261431336145449</v>
      </c>
      <c r="C47">
        <v>0.95499999999999996</v>
      </c>
      <c r="D47">
        <v>0.88900000000000001</v>
      </c>
      <c r="E47">
        <v>6.4398315399137396E-3</v>
      </c>
      <c r="F47" t="s">
        <v>261</v>
      </c>
      <c r="G47" t="s">
        <v>262</v>
      </c>
      <c r="H47" t="s">
        <v>261</v>
      </c>
      <c r="I47" t="str">
        <f>HYPERLINK("https://zfin.org/ZDB-GENE-030131-2159")</f>
        <v>https://zfin.org/ZDB-GENE-030131-2159</v>
      </c>
      <c r="J47" t="s">
        <v>263</v>
      </c>
    </row>
    <row r="48" spans="1:10" x14ac:dyDescent="0.2">
      <c r="A48">
        <v>1.0150018285623999E-6</v>
      </c>
      <c r="B48">
        <v>0.399202860373502</v>
      </c>
      <c r="C48">
        <v>0.25700000000000001</v>
      </c>
      <c r="D48">
        <v>9.2999999999999999E-2</v>
      </c>
      <c r="E48">
        <v>1.5715273311631601E-2</v>
      </c>
      <c r="F48" t="s">
        <v>2871</v>
      </c>
      <c r="G48" t="s">
        <v>2872</v>
      </c>
      <c r="H48" t="s">
        <v>2871</v>
      </c>
      <c r="I48" t="str">
        <f>HYPERLINK("https://zfin.org/ZDB-GENE-050517-17")</f>
        <v>https://zfin.org/ZDB-GENE-050517-17</v>
      </c>
      <c r="J48" t="s">
        <v>2870</v>
      </c>
    </row>
    <row r="49" spans="1:10" x14ac:dyDescent="0.2">
      <c r="A49">
        <v>1.1864104171131299E-6</v>
      </c>
      <c r="B49">
        <v>0.58309260336178204</v>
      </c>
      <c r="C49">
        <v>0.45800000000000002</v>
      </c>
      <c r="D49">
        <v>0.26100000000000001</v>
      </c>
      <c r="E49">
        <v>1.83691924881626E-2</v>
      </c>
      <c r="F49" t="s">
        <v>1169</v>
      </c>
      <c r="G49" t="s">
        <v>1170</v>
      </c>
      <c r="H49" t="s">
        <v>1169</v>
      </c>
      <c r="I49" t="str">
        <f>HYPERLINK("https://zfin.org/ZDB-GENE-060503-288")</f>
        <v>https://zfin.org/ZDB-GENE-060503-288</v>
      </c>
      <c r="J49" t="s">
        <v>1168</v>
      </c>
    </row>
    <row r="50" spans="1:10" x14ac:dyDescent="0.2">
      <c r="A50">
        <v>1.40609222242338E-6</v>
      </c>
      <c r="B50">
        <v>0.30926936394885701</v>
      </c>
      <c r="C50">
        <v>0.156</v>
      </c>
      <c r="D50">
        <v>3.5999999999999997E-2</v>
      </c>
      <c r="E50">
        <v>2.1770525879781202E-2</v>
      </c>
      <c r="F50" t="s">
        <v>355</v>
      </c>
      <c r="G50" t="s">
        <v>356</v>
      </c>
      <c r="H50" t="s">
        <v>355</v>
      </c>
      <c r="I50" t="str">
        <f>HYPERLINK("https://zfin.org/ZDB-GENE-000412-1")</f>
        <v>https://zfin.org/ZDB-GENE-000412-1</v>
      </c>
      <c r="J50" t="s">
        <v>354</v>
      </c>
    </row>
    <row r="51" spans="1:10" x14ac:dyDescent="0.2">
      <c r="A51">
        <v>1.9778298382371099E-6</v>
      </c>
      <c r="B51">
        <v>0.29342134190142399</v>
      </c>
      <c r="C51">
        <v>0.20699999999999999</v>
      </c>
      <c r="D51">
        <v>6.6000000000000003E-2</v>
      </c>
      <c r="E51">
        <v>3.0622739385425101E-2</v>
      </c>
      <c r="F51" t="s">
        <v>2868</v>
      </c>
      <c r="G51" t="s">
        <v>2869</v>
      </c>
      <c r="H51" t="s">
        <v>2868</v>
      </c>
      <c r="I51" t="str">
        <f>HYPERLINK("https://zfin.org/ZDB-GENE-060512-221")</f>
        <v>https://zfin.org/ZDB-GENE-060512-221</v>
      </c>
      <c r="J51" t="s">
        <v>2867</v>
      </c>
    </row>
    <row r="52" spans="1:10" x14ac:dyDescent="0.2">
      <c r="A52">
        <v>2.01798097302569E-6</v>
      </c>
      <c r="B52">
        <v>0.396657669500458</v>
      </c>
      <c r="C52">
        <v>0.35199999999999998</v>
      </c>
      <c r="D52">
        <v>0.16500000000000001</v>
      </c>
      <c r="E52">
        <v>3.1244399405356699E-2</v>
      </c>
      <c r="F52" t="s">
        <v>2865</v>
      </c>
      <c r="G52" t="s">
        <v>2866</v>
      </c>
      <c r="H52" t="s">
        <v>2865</v>
      </c>
      <c r="I52" t="str">
        <f>HYPERLINK("https://zfin.org/ZDB-GENE-060130-56")</f>
        <v>https://zfin.org/ZDB-GENE-060130-56</v>
      </c>
      <c r="J52" t="s">
        <v>2864</v>
      </c>
    </row>
    <row r="53" spans="1:10" x14ac:dyDescent="0.2">
      <c r="A53">
        <v>2.1361419203519801E-6</v>
      </c>
      <c r="B53">
        <v>0.38790341456625899</v>
      </c>
      <c r="C53">
        <v>0.76</v>
      </c>
      <c r="D53">
        <v>0.66700000000000004</v>
      </c>
      <c r="E53">
        <v>3.3073885352809702E-2</v>
      </c>
      <c r="F53" t="s">
        <v>1412</v>
      </c>
      <c r="G53" t="s">
        <v>1413</v>
      </c>
      <c r="H53" t="s">
        <v>1412</v>
      </c>
      <c r="I53" t="str">
        <f>HYPERLINK("https://zfin.org/ZDB-GENE-030428-2")</f>
        <v>https://zfin.org/ZDB-GENE-030428-2</v>
      </c>
      <c r="J53" t="s">
        <v>1411</v>
      </c>
    </row>
    <row r="54" spans="1:10" x14ac:dyDescent="0.2">
      <c r="A54">
        <v>2.62459883014723E-6</v>
      </c>
      <c r="B54">
        <v>0.97746139129649701</v>
      </c>
      <c r="C54">
        <v>0.39700000000000002</v>
      </c>
      <c r="D54">
        <v>0.22500000000000001</v>
      </c>
      <c r="E54">
        <v>4.0636663687169498E-2</v>
      </c>
      <c r="F54" t="s">
        <v>2862</v>
      </c>
      <c r="G54" t="s">
        <v>2863</v>
      </c>
      <c r="H54" t="s">
        <v>2862</v>
      </c>
      <c r="I54" t="str">
        <f>HYPERLINK("https://zfin.org/ZDB-GENE-021231-1")</f>
        <v>https://zfin.org/ZDB-GENE-021231-1</v>
      </c>
      <c r="J54" t="s">
        <v>2861</v>
      </c>
    </row>
    <row r="55" spans="1:10" x14ac:dyDescent="0.2">
      <c r="A55">
        <v>3.07269948293069E-6</v>
      </c>
      <c r="B55">
        <v>0.409560954937573</v>
      </c>
      <c r="C55">
        <v>0.47499999999999998</v>
      </c>
      <c r="D55">
        <v>0.27300000000000002</v>
      </c>
      <c r="E55">
        <v>4.7574606094215897E-2</v>
      </c>
      <c r="F55" t="s">
        <v>2352</v>
      </c>
      <c r="G55" t="s">
        <v>2353</v>
      </c>
      <c r="H55" t="s">
        <v>2352</v>
      </c>
      <c r="I55" t="str">
        <f>HYPERLINK("https://zfin.org/ZDB-GENE-030131-2913")</f>
        <v>https://zfin.org/ZDB-GENE-030131-2913</v>
      </c>
      <c r="J55" t="s">
        <v>2351</v>
      </c>
    </row>
    <row r="56" spans="1:10" x14ac:dyDescent="0.2">
      <c r="A56">
        <v>3.1452418678486901E-6</v>
      </c>
      <c r="B56">
        <v>0.31747960730816299</v>
      </c>
      <c r="C56">
        <v>0.41299999999999998</v>
      </c>
      <c r="D56">
        <v>0.20399999999999999</v>
      </c>
      <c r="E56">
        <v>4.8697779839901298E-2</v>
      </c>
      <c r="F56" t="s">
        <v>2440</v>
      </c>
      <c r="G56" t="s">
        <v>2441</v>
      </c>
      <c r="H56" t="s">
        <v>2440</v>
      </c>
      <c r="I56" t="str">
        <f>HYPERLINK("https://zfin.org/ZDB-GENE-050417-409")</f>
        <v>https://zfin.org/ZDB-GENE-050417-409</v>
      </c>
      <c r="J56" t="s">
        <v>2439</v>
      </c>
    </row>
    <row r="57" spans="1:10" x14ac:dyDescent="0.2">
      <c r="A57">
        <v>3.6509305151029199E-6</v>
      </c>
      <c r="B57">
        <v>0.38621901330467101</v>
      </c>
      <c r="C57">
        <v>0.82099999999999995</v>
      </c>
      <c r="D57">
        <v>0.66100000000000003</v>
      </c>
      <c r="E57">
        <v>5.65273571653385E-2</v>
      </c>
      <c r="F57" t="s">
        <v>1464</v>
      </c>
      <c r="G57" t="s">
        <v>1465</v>
      </c>
      <c r="H57" t="s">
        <v>1464</v>
      </c>
      <c r="I57" t="str">
        <f>HYPERLINK("https://zfin.org/ZDB-GENE-080829-12")</f>
        <v>https://zfin.org/ZDB-GENE-080829-12</v>
      </c>
      <c r="J57" t="s">
        <v>1463</v>
      </c>
    </row>
    <row r="58" spans="1:10" x14ac:dyDescent="0.2">
      <c r="A58">
        <v>4.5039332285947798E-6</v>
      </c>
      <c r="B58">
        <v>0.38763875628613298</v>
      </c>
      <c r="C58">
        <v>0.43</v>
      </c>
      <c r="D58">
        <v>0.23699999999999999</v>
      </c>
      <c r="E58">
        <v>6.9734398178333004E-2</v>
      </c>
      <c r="F58" t="s">
        <v>2686</v>
      </c>
      <c r="G58" t="s">
        <v>2687</v>
      </c>
      <c r="H58" t="s">
        <v>2686</v>
      </c>
      <c r="I58" t="str">
        <f>HYPERLINK("https://zfin.org/ZDB-GENE-030131-475")</f>
        <v>https://zfin.org/ZDB-GENE-030131-475</v>
      </c>
      <c r="J58" t="s">
        <v>2685</v>
      </c>
    </row>
    <row r="59" spans="1:10" x14ac:dyDescent="0.2">
      <c r="A59">
        <v>4.6670129679484402E-6</v>
      </c>
      <c r="B59">
        <v>0.49506275825002699</v>
      </c>
      <c r="C59">
        <v>0.251</v>
      </c>
      <c r="D59">
        <v>0.10199999999999999</v>
      </c>
      <c r="E59">
        <v>7.2259361782745696E-2</v>
      </c>
      <c r="F59" t="s">
        <v>2305</v>
      </c>
      <c r="G59" t="s">
        <v>2306</v>
      </c>
      <c r="H59" t="s">
        <v>2305</v>
      </c>
      <c r="I59" t="str">
        <f>HYPERLINK("https://zfin.org/")</f>
        <v>https://zfin.org/</v>
      </c>
    </row>
    <row r="60" spans="1:10" x14ac:dyDescent="0.2">
      <c r="A60">
        <v>4.6844097090398901E-6</v>
      </c>
      <c r="B60">
        <v>0.35501017504618498</v>
      </c>
      <c r="C60">
        <v>0.95</v>
      </c>
      <c r="D60">
        <v>0.874</v>
      </c>
      <c r="E60">
        <v>7.2528715525064597E-2</v>
      </c>
      <c r="F60" t="s">
        <v>100</v>
      </c>
      <c r="G60" t="s">
        <v>101</v>
      </c>
      <c r="H60" t="s">
        <v>100</v>
      </c>
      <c r="I60" t="str">
        <f>HYPERLINK("https://zfin.org/ZDB-GENE-030131-12")</f>
        <v>https://zfin.org/ZDB-GENE-030131-12</v>
      </c>
      <c r="J60" t="s">
        <v>102</v>
      </c>
    </row>
    <row r="61" spans="1:10" x14ac:dyDescent="0.2">
      <c r="A61">
        <v>5.2453286538858703E-6</v>
      </c>
      <c r="B61">
        <v>0.29243042189157398</v>
      </c>
      <c r="C61">
        <v>0.123</v>
      </c>
      <c r="D61">
        <v>2.4E-2</v>
      </c>
      <c r="E61">
        <v>8.1213423548115005E-2</v>
      </c>
      <c r="F61" t="s">
        <v>2859</v>
      </c>
      <c r="G61" t="s">
        <v>2860</v>
      </c>
      <c r="H61" t="s">
        <v>2859</v>
      </c>
      <c r="I61" t="str">
        <f>HYPERLINK("https://zfin.org/ZDB-GENE-030131-7461")</f>
        <v>https://zfin.org/ZDB-GENE-030131-7461</v>
      </c>
      <c r="J61" t="s">
        <v>2858</v>
      </c>
    </row>
    <row r="62" spans="1:10" x14ac:dyDescent="0.2">
      <c r="A62">
        <v>5.3970876795918798E-6</v>
      </c>
      <c r="B62">
        <v>0.38542392366487099</v>
      </c>
      <c r="C62">
        <v>0.63700000000000001</v>
      </c>
      <c r="D62">
        <v>0.42299999999999999</v>
      </c>
      <c r="E62">
        <v>8.3563108543121101E-2</v>
      </c>
      <c r="F62" t="s">
        <v>2371</v>
      </c>
      <c r="G62" t="s">
        <v>2372</v>
      </c>
      <c r="H62" t="s">
        <v>2371</v>
      </c>
      <c r="I62" t="str">
        <f>HYPERLINK("https://zfin.org/ZDB-GENE-100922-65")</f>
        <v>https://zfin.org/ZDB-GENE-100922-65</v>
      </c>
      <c r="J62" t="s">
        <v>2370</v>
      </c>
    </row>
    <row r="63" spans="1:10" x14ac:dyDescent="0.2">
      <c r="A63">
        <v>6.1696969193640903E-6</v>
      </c>
      <c r="B63">
        <v>0.27829690729671402</v>
      </c>
      <c r="C63">
        <v>0.13400000000000001</v>
      </c>
      <c r="D63">
        <v>0.03</v>
      </c>
      <c r="E63">
        <v>9.5525417402514204E-2</v>
      </c>
      <c r="F63" t="s">
        <v>2856</v>
      </c>
      <c r="G63" t="s">
        <v>2857</v>
      </c>
      <c r="H63" t="s">
        <v>2856</v>
      </c>
      <c r="I63" t="str">
        <f>HYPERLINK("https://zfin.org/ZDB-GENE-030616-571")</f>
        <v>https://zfin.org/ZDB-GENE-030616-571</v>
      </c>
      <c r="J63" t="s">
        <v>2855</v>
      </c>
    </row>
    <row r="64" spans="1:10" x14ac:dyDescent="0.2">
      <c r="A64">
        <v>6.7967183271697502E-6</v>
      </c>
      <c r="B64">
        <v>0.32446888330734103</v>
      </c>
      <c r="C64">
        <v>0.32400000000000001</v>
      </c>
      <c r="D64">
        <v>0.14699999999999999</v>
      </c>
      <c r="E64">
        <v>0.105233589859569</v>
      </c>
      <c r="F64" t="s">
        <v>2853</v>
      </c>
      <c r="G64" t="s">
        <v>2854</v>
      </c>
      <c r="H64" t="s">
        <v>2853</v>
      </c>
      <c r="I64" t="str">
        <f>HYPERLINK("https://zfin.org/ZDB-GENE-001229-2")</f>
        <v>https://zfin.org/ZDB-GENE-001229-2</v>
      </c>
      <c r="J64" t="s">
        <v>2852</v>
      </c>
    </row>
    <row r="65" spans="1:10" x14ac:dyDescent="0.2">
      <c r="A65">
        <v>6.7969763870776402E-6</v>
      </c>
      <c r="B65">
        <v>0.418480409141605</v>
      </c>
      <c r="C65">
        <v>0.28499999999999998</v>
      </c>
      <c r="D65">
        <v>0.123</v>
      </c>
      <c r="E65">
        <v>0.105237585401123</v>
      </c>
      <c r="F65" t="s">
        <v>2850</v>
      </c>
      <c r="G65" t="s">
        <v>2851</v>
      </c>
      <c r="H65" t="s">
        <v>2850</v>
      </c>
      <c r="I65" t="str">
        <f>HYPERLINK("https://zfin.org/ZDB-GENE-030131-9877")</f>
        <v>https://zfin.org/ZDB-GENE-030131-9877</v>
      </c>
      <c r="J65" t="s">
        <v>2849</v>
      </c>
    </row>
    <row r="66" spans="1:10" x14ac:dyDescent="0.2">
      <c r="A66">
        <v>7.9957615631949702E-6</v>
      </c>
      <c r="B66">
        <v>0.32839959411762298</v>
      </c>
      <c r="C66">
        <v>0.55900000000000005</v>
      </c>
      <c r="D66">
        <v>0.36</v>
      </c>
      <c r="E66">
        <v>0.123798376282948</v>
      </c>
      <c r="F66" t="s">
        <v>2847</v>
      </c>
      <c r="G66" t="s">
        <v>2848</v>
      </c>
      <c r="H66" t="s">
        <v>2847</v>
      </c>
      <c r="I66" t="str">
        <f>HYPERLINK("https://zfin.org/ZDB-GENE-040426-1971")</f>
        <v>https://zfin.org/ZDB-GENE-040426-1971</v>
      </c>
      <c r="J66" t="s">
        <v>2846</v>
      </c>
    </row>
    <row r="67" spans="1:10" x14ac:dyDescent="0.2">
      <c r="A67">
        <v>8.8016349102607501E-6</v>
      </c>
      <c r="B67">
        <v>0.34728721551465802</v>
      </c>
      <c r="C67">
        <v>0.29599999999999999</v>
      </c>
      <c r="D67">
        <v>0.13500000000000001</v>
      </c>
      <c r="E67">
        <v>0.13627571331556701</v>
      </c>
      <c r="F67" t="s">
        <v>2844</v>
      </c>
      <c r="G67" t="s">
        <v>2845</v>
      </c>
      <c r="H67" t="s">
        <v>2844</v>
      </c>
      <c r="I67" t="str">
        <f>HYPERLINK("https://zfin.org/ZDB-GENE-071015-2")</f>
        <v>https://zfin.org/ZDB-GENE-071015-2</v>
      </c>
      <c r="J67" t="s">
        <v>2843</v>
      </c>
    </row>
    <row r="68" spans="1:10" x14ac:dyDescent="0.2">
      <c r="A68">
        <v>9.2867336670685603E-6</v>
      </c>
      <c r="B68">
        <v>0.34605868863707501</v>
      </c>
      <c r="C68">
        <v>0.29099999999999998</v>
      </c>
      <c r="D68">
        <v>0.13200000000000001</v>
      </c>
      <c r="E68">
        <v>0.14378649736722299</v>
      </c>
      <c r="F68" t="s">
        <v>2841</v>
      </c>
      <c r="G68" t="s">
        <v>2842</v>
      </c>
      <c r="H68" t="s">
        <v>2841</v>
      </c>
      <c r="I68" t="str">
        <f>HYPERLINK("https://zfin.org/ZDB-GENE-031222-2")</f>
        <v>https://zfin.org/ZDB-GENE-031222-2</v>
      </c>
      <c r="J68" t="s">
        <v>2840</v>
      </c>
    </row>
    <row r="69" spans="1:10" x14ac:dyDescent="0.2">
      <c r="A69">
        <v>9.9684247018392401E-6</v>
      </c>
      <c r="B69">
        <v>0.37850068115541802</v>
      </c>
      <c r="C69">
        <v>0.51400000000000001</v>
      </c>
      <c r="D69">
        <v>0.30299999999999999</v>
      </c>
      <c r="E69">
        <v>0.154341119658577</v>
      </c>
      <c r="F69" t="s">
        <v>2838</v>
      </c>
      <c r="G69" t="s">
        <v>2839</v>
      </c>
      <c r="H69" t="s">
        <v>2838</v>
      </c>
      <c r="I69" t="str">
        <f>HYPERLINK("https://zfin.org/ZDB-GENE-040426-1064")</f>
        <v>https://zfin.org/ZDB-GENE-040426-1064</v>
      </c>
      <c r="J69" t="s">
        <v>2837</v>
      </c>
    </row>
    <row r="70" spans="1:10" x14ac:dyDescent="0.2">
      <c r="A70">
        <v>1.04527766593515E-5</v>
      </c>
      <c r="B70">
        <v>0.384910030088644</v>
      </c>
      <c r="C70">
        <v>0.38</v>
      </c>
      <c r="D70">
        <v>0.20100000000000001</v>
      </c>
      <c r="E70">
        <v>0.161840341016739</v>
      </c>
      <c r="F70" t="s">
        <v>2835</v>
      </c>
      <c r="G70" t="s">
        <v>2836</v>
      </c>
      <c r="H70" t="s">
        <v>2835</v>
      </c>
      <c r="I70" t="str">
        <f>HYPERLINK("https://zfin.org/ZDB-GENE-040426-1785")</f>
        <v>https://zfin.org/ZDB-GENE-040426-1785</v>
      </c>
      <c r="J70" t="s">
        <v>2834</v>
      </c>
    </row>
    <row r="71" spans="1:10" x14ac:dyDescent="0.2">
      <c r="A71">
        <v>1.2289783899900299E-5</v>
      </c>
      <c r="B71">
        <v>0.33842137862675098</v>
      </c>
      <c r="C71">
        <v>0.53100000000000003</v>
      </c>
      <c r="D71">
        <v>0.318</v>
      </c>
      <c r="E71">
        <v>0.19028272412215599</v>
      </c>
      <c r="F71" t="s">
        <v>2000</v>
      </c>
      <c r="G71" t="s">
        <v>2001</v>
      </c>
      <c r="H71" t="s">
        <v>2000</v>
      </c>
      <c r="I71" t="str">
        <f>HYPERLINK("https://zfin.org/ZDB-GENE-011109-2")</f>
        <v>https://zfin.org/ZDB-GENE-011109-2</v>
      </c>
      <c r="J71" t="s">
        <v>1999</v>
      </c>
    </row>
    <row r="72" spans="1:10" x14ac:dyDescent="0.2">
      <c r="A72">
        <v>1.26166652272811E-5</v>
      </c>
      <c r="B72">
        <v>0.34946610125798899</v>
      </c>
      <c r="C72">
        <v>0.156</v>
      </c>
      <c r="D72">
        <v>4.4999999999999998E-2</v>
      </c>
      <c r="E72">
        <v>0.195343827713993</v>
      </c>
      <c r="F72" t="s">
        <v>2832</v>
      </c>
      <c r="G72" t="s">
        <v>2833</v>
      </c>
      <c r="H72" t="s">
        <v>2832</v>
      </c>
      <c r="I72" t="str">
        <f>HYPERLINK("https://zfin.org/ZDB-GENE-001120-1")</f>
        <v>https://zfin.org/ZDB-GENE-001120-1</v>
      </c>
      <c r="J72" t="s">
        <v>2831</v>
      </c>
    </row>
    <row r="73" spans="1:10" x14ac:dyDescent="0.2">
      <c r="A73">
        <v>1.2620761926915299E-5</v>
      </c>
      <c r="B73">
        <v>0.361330673770208</v>
      </c>
      <c r="C73">
        <v>0.27900000000000003</v>
      </c>
      <c r="D73">
        <v>0.126</v>
      </c>
      <c r="E73">
        <v>0.19540725691442901</v>
      </c>
      <c r="F73" t="s">
        <v>2374</v>
      </c>
      <c r="G73" t="s">
        <v>2375</v>
      </c>
      <c r="H73" t="s">
        <v>2374</v>
      </c>
      <c r="I73" t="str">
        <f>HYPERLINK("https://zfin.org/ZDB-GENE-070112-2282")</f>
        <v>https://zfin.org/ZDB-GENE-070112-2282</v>
      </c>
      <c r="J73" t="s">
        <v>2373</v>
      </c>
    </row>
    <row r="74" spans="1:10" x14ac:dyDescent="0.2">
      <c r="A74">
        <v>1.42625020501458E-5</v>
      </c>
      <c r="B74">
        <v>0.38482657089080802</v>
      </c>
      <c r="C74">
        <v>0.754</v>
      </c>
      <c r="D74">
        <v>0.59499999999999997</v>
      </c>
      <c r="E74">
        <v>0.220826319242407</v>
      </c>
      <c r="F74" t="s">
        <v>1316</v>
      </c>
      <c r="G74" t="s">
        <v>1317</v>
      </c>
      <c r="H74" t="s">
        <v>1316</v>
      </c>
      <c r="I74" t="str">
        <f>HYPERLINK("https://zfin.org/ZDB-GENE-090915-6")</f>
        <v>https://zfin.org/ZDB-GENE-090915-6</v>
      </c>
      <c r="J74" t="s">
        <v>1315</v>
      </c>
    </row>
    <row r="75" spans="1:10" x14ac:dyDescent="0.2">
      <c r="A75">
        <v>1.6531145194546098E-5</v>
      </c>
      <c r="B75">
        <v>0.28866022673161701</v>
      </c>
      <c r="C75">
        <v>0.82699999999999996</v>
      </c>
      <c r="D75">
        <v>0.71199999999999997</v>
      </c>
      <c r="E75">
        <v>0.25595172104715702</v>
      </c>
      <c r="F75" t="s">
        <v>2829</v>
      </c>
      <c r="G75" t="s">
        <v>2830</v>
      </c>
      <c r="H75" t="s">
        <v>2829</v>
      </c>
      <c r="I75" t="str">
        <f>HYPERLINK("https://zfin.org/ZDB-GENE-030131-2416")</f>
        <v>https://zfin.org/ZDB-GENE-030131-2416</v>
      </c>
      <c r="J75" t="s">
        <v>2828</v>
      </c>
    </row>
    <row r="76" spans="1:10" x14ac:dyDescent="0.2">
      <c r="A76">
        <v>1.66025764220402E-5</v>
      </c>
      <c r="B76">
        <v>0.32372934227803501</v>
      </c>
      <c r="C76">
        <v>0.86599999999999999</v>
      </c>
      <c r="D76">
        <v>0.77800000000000002</v>
      </c>
      <c r="E76">
        <v>0.257057690742448</v>
      </c>
      <c r="F76" t="s">
        <v>133</v>
      </c>
      <c r="G76" t="s">
        <v>134</v>
      </c>
      <c r="H76" t="s">
        <v>133</v>
      </c>
      <c r="I76" t="str">
        <f>HYPERLINK("https://zfin.org/")</f>
        <v>https://zfin.org/</v>
      </c>
    </row>
    <row r="77" spans="1:10" x14ac:dyDescent="0.2">
      <c r="A77">
        <v>1.95432683770255E-5</v>
      </c>
      <c r="B77">
        <v>0.47436482982495798</v>
      </c>
      <c r="C77">
        <v>0.44700000000000001</v>
      </c>
      <c r="D77">
        <v>0.26400000000000001</v>
      </c>
      <c r="E77">
        <v>0.30258842428148502</v>
      </c>
      <c r="F77" t="s">
        <v>2826</v>
      </c>
      <c r="G77" t="s">
        <v>2827</v>
      </c>
      <c r="H77" t="s">
        <v>2826</v>
      </c>
      <c r="I77" t="str">
        <f>HYPERLINK("https://zfin.org/ZDB-GENE-050320-36")</f>
        <v>https://zfin.org/ZDB-GENE-050320-36</v>
      </c>
      <c r="J77" t="s">
        <v>2825</v>
      </c>
    </row>
    <row r="78" spans="1:10" x14ac:dyDescent="0.2">
      <c r="A78">
        <v>2.53694447471234E-5</v>
      </c>
      <c r="B78">
        <v>0.30506880493303101</v>
      </c>
      <c r="C78">
        <v>0.77100000000000002</v>
      </c>
      <c r="D78">
        <v>0.63700000000000001</v>
      </c>
      <c r="E78">
        <v>0.39279511301971098</v>
      </c>
      <c r="F78" t="s">
        <v>2428</v>
      </c>
      <c r="G78" t="s">
        <v>2429</v>
      </c>
      <c r="H78" t="s">
        <v>2428</v>
      </c>
      <c r="I78" t="str">
        <f>HYPERLINK("https://zfin.org/ZDB-GENE-040718-371")</f>
        <v>https://zfin.org/ZDB-GENE-040718-371</v>
      </c>
      <c r="J78" t="s">
        <v>2427</v>
      </c>
    </row>
    <row r="79" spans="1:10" x14ac:dyDescent="0.2">
      <c r="A79">
        <v>2.57122943366615E-5</v>
      </c>
      <c r="B79">
        <v>0.43595289177629598</v>
      </c>
      <c r="C79">
        <v>0.441</v>
      </c>
      <c r="D79">
        <v>0.27600000000000002</v>
      </c>
      <c r="E79">
        <v>0.39810345321453</v>
      </c>
      <c r="F79" t="s">
        <v>2446</v>
      </c>
      <c r="G79" t="s">
        <v>2447</v>
      </c>
      <c r="H79" t="s">
        <v>2446</v>
      </c>
      <c r="I79" t="str">
        <f>HYPERLINK("https://zfin.org/ZDB-GENE-110718-2")</f>
        <v>https://zfin.org/ZDB-GENE-110718-2</v>
      </c>
      <c r="J79" t="s">
        <v>2445</v>
      </c>
    </row>
    <row r="80" spans="1:10" x14ac:dyDescent="0.2">
      <c r="A80">
        <v>2.780366468509E-5</v>
      </c>
      <c r="B80">
        <v>0.33645428284762702</v>
      </c>
      <c r="C80">
        <v>0.19</v>
      </c>
      <c r="D80">
        <v>6.9000000000000006E-2</v>
      </c>
      <c r="E80">
        <v>0.43048414031924898</v>
      </c>
      <c r="F80" t="s">
        <v>2823</v>
      </c>
      <c r="G80" t="s">
        <v>2824</v>
      </c>
      <c r="H80" t="s">
        <v>2823</v>
      </c>
      <c r="I80" t="str">
        <f>HYPERLINK("https://zfin.org/ZDB-GENE-030114-6")</f>
        <v>https://zfin.org/ZDB-GENE-030114-6</v>
      </c>
      <c r="J80" t="s">
        <v>2822</v>
      </c>
    </row>
    <row r="81" spans="1:10" x14ac:dyDescent="0.2">
      <c r="A81">
        <v>3.4646755349652102E-5</v>
      </c>
      <c r="B81">
        <v>0.41106239369667702</v>
      </c>
      <c r="C81">
        <v>0.38</v>
      </c>
      <c r="D81">
        <v>0.216</v>
      </c>
      <c r="E81">
        <v>0.536435713078664</v>
      </c>
      <c r="F81" t="s">
        <v>2820</v>
      </c>
      <c r="G81" t="s">
        <v>2821</v>
      </c>
      <c r="H81" t="s">
        <v>2820</v>
      </c>
      <c r="I81" t="str">
        <f>HYPERLINK("https://zfin.org/ZDB-GENE-030516-3")</f>
        <v>https://zfin.org/ZDB-GENE-030516-3</v>
      </c>
      <c r="J81" t="s">
        <v>2819</v>
      </c>
    </row>
    <row r="82" spans="1:10" x14ac:dyDescent="0.2">
      <c r="A82">
        <v>3.7097869591508197E-5</v>
      </c>
      <c r="B82">
        <v>0.31511106954285001</v>
      </c>
      <c r="C82">
        <v>0.24</v>
      </c>
      <c r="D82">
        <v>0.105</v>
      </c>
      <c r="E82">
        <v>0.57438631488532199</v>
      </c>
      <c r="F82" t="s">
        <v>2311</v>
      </c>
      <c r="G82" t="s">
        <v>2312</v>
      </c>
      <c r="H82" t="s">
        <v>2311</v>
      </c>
      <c r="I82" t="str">
        <f>HYPERLINK("https://zfin.org/ZDB-GENE-080430-1")</f>
        <v>https://zfin.org/ZDB-GENE-080430-1</v>
      </c>
      <c r="J82" t="s">
        <v>2310</v>
      </c>
    </row>
    <row r="83" spans="1:10" x14ac:dyDescent="0.2">
      <c r="A83">
        <v>3.7324686130296097E-5</v>
      </c>
      <c r="B83">
        <v>0.26022601989735999</v>
      </c>
      <c r="C83">
        <v>0.16800000000000001</v>
      </c>
      <c r="D83">
        <v>5.3999999999999999E-2</v>
      </c>
      <c r="E83">
        <v>0.57789811535537405</v>
      </c>
      <c r="F83" t="s">
        <v>2817</v>
      </c>
      <c r="G83" t="s">
        <v>2818</v>
      </c>
      <c r="H83" t="s">
        <v>2817</v>
      </c>
      <c r="I83" t="str">
        <f>HYPERLINK("https://zfin.org/ZDB-GENE-061103-367")</f>
        <v>https://zfin.org/ZDB-GENE-061103-367</v>
      </c>
      <c r="J83" t="s">
        <v>2816</v>
      </c>
    </row>
    <row r="84" spans="1:10" x14ac:dyDescent="0.2">
      <c r="A84">
        <v>4.1206742354400999E-5</v>
      </c>
      <c r="B84">
        <v>0.34085859301050703</v>
      </c>
      <c r="C84">
        <v>0.16800000000000001</v>
      </c>
      <c r="D84">
        <v>5.7000000000000002E-2</v>
      </c>
      <c r="E84">
        <v>0.63800399187319001</v>
      </c>
      <c r="F84" t="s">
        <v>2814</v>
      </c>
      <c r="G84" t="s">
        <v>2815</v>
      </c>
      <c r="H84" t="s">
        <v>2814</v>
      </c>
      <c r="I84" t="str">
        <f>HYPERLINK("https://zfin.org/ZDB-GENE-030131-6149")</f>
        <v>https://zfin.org/ZDB-GENE-030131-6149</v>
      </c>
      <c r="J84" t="s">
        <v>2813</v>
      </c>
    </row>
    <row r="85" spans="1:10" x14ac:dyDescent="0.2">
      <c r="A85">
        <v>4.3746669323083399E-5</v>
      </c>
      <c r="B85">
        <v>0.28346928028036</v>
      </c>
      <c r="C85">
        <v>0.17899999999999999</v>
      </c>
      <c r="D85">
        <v>6.3E-2</v>
      </c>
      <c r="E85">
        <v>0.67732968112930103</v>
      </c>
      <c r="F85" t="s">
        <v>2331</v>
      </c>
      <c r="G85" t="s">
        <v>2332</v>
      </c>
      <c r="H85" t="s">
        <v>2331</v>
      </c>
      <c r="I85" t="str">
        <f>HYPERLINK("https://zfin.org/")</f>
        <v>https://zfin.org/</v>
      </c>
      <c r="J85" t="s">
        <v>2330</v>
      </c>
    </row>
    <row r="86" spans="1:10" x14ac:dyDescent="0.2">
      <c r="A86">
        <v>5.5147508926669598E-5</v>
      </c>
      <c r="B86">
        <v>0.31261985863380498</v>
      </c>
      <c r="C86">
        <v>0.41299999999999998</v>
      </c>
      <c r="D86">
        <v>0.23699999999999999</v>
      </c>
      <c r="E86">
        <v>0.85384888071162501</v>
      </c>
      <c r="F86" t="s">
        <v>1172</v>
      </c>
      <c r="G86" t="s">
        <v>1173</v>
      </c>
      <c r="H86" t="s">
        <v>1172</v>
      </c>
      <c r="I86" t="str">
        <f>HYPERLINK("https://zfin.org/ZDB-GENE-051030-98")</f>
        <v>https://zfin.org/ZDB-GENE-051030-98</v>
      </c>
      <c r="J86" t="s">
        <v>1171</v>
      </c>
    </row>
    <row r="87" spans="1:10" x14ac:dyDescent="0.2">
      <c r="A87">
        <v>5.53460218340522E-5</v>
      </c>
      <c r="B87">
        <v>0.35120794550926698</v>
      </c>
      <c r="C87">
        <v>0.57499999999999996</v>
      </c>
      <c r="D87">
        <v>0.39600000000000002</v>
      </c>
      <c r="E87">
        <v>0.85692245605663098</v>
      </c>
      <c r="F87" t="s">
        <v>1370</v>
      </c>
      <c r="G87" t="s">
        <v>1371</v>
      </c>
      <c r="H87" t="s">
        <v>1370</v>
      </c>
      <c r="I87" t="str">
        <f>HYPERLINK("https://zfin.org/ZDB-GENE-050320-111")</f>
        <v>https://zfin.org/ZDB-GENE-050320-111</v>
      </c>
      <c r="J87" t="s">
        <v>1369</v>
      </c>
    </row>
    <row r="88" spans="1:10" x14ac:dyDescent="0.2">
      <c r="A88">
        <v>5.8218332714288097E-5</v>
      </c>
      <c r="B88">
        <v>0.26287267950565701</v>
      </c>
      <c r="C88">
        <v>0.89400000000000002</v>
      </c>
      <c r="D88">
        <v>0.77200000000000002</v>
      </c>
      <c r="E88">
        <v>0.90139444541532299</v>
      </c>
      <c r="F88" t="s">
        <v>189</v>
      </c>
      <c r="G88" t="s">
        <v>190</v>
      </c>
      <c r="H88" t="s">
        <v>189</v>
      </c>
      <c r="I88" t="str">
        <f>HYPERLINK("https://zfin.org/ZDB-GENE-060126-3")</f>
        <v>https://zfin.org/ZDB-GENE-060126-3</v>
      </c>
      <c r="J88" t="s">
        <v>191</v>
      </c>
    </row>
    <row r="89" spans="1:10" x14ac:dyDescent="0.2">
      <c r="A89">
        <v>5.9543045330194699E-5</v>
      </c>
      <c r="B89">
        <v>0.42552050613973502</v>
      </c>
      <c r="C89">
        <v>0.223</v>
      </c>
      <c r="D89">
        <v>9.6000000000000002E-2</v>
      </c>
      <c r="E89">
        <v>0.92190497084740397</v>
      </c>
      <c r="F89" t="s">
        <v>2811</v>
      </c>
      <c r="G89" t="s">
        <v>2812</v>
      </c>
      <c r="H89" t="s">
        <v>2811</v>
      </c>
      <c r="I89" t="str">
        <f>HYPERLINK("https://zfin.org/ZDB-GENE-050419-204")</f>
        <v>https://zfin.org/ZDB-GENE-050419-204</v>
      </c>
      <c r="J89" t="s">
        <v>2810</v>
      </c>
    </row>
    <row r="90" spans="1:10" x14ac:dyDescent="0.2">
      <c r="A90">
        <v>6.0026429700210998E-5</v>
      </c>
      <c r="B90">
        <v>0.29275267374765102</v>
      </c>
      <c r="C90">
        <v>0.10100000000000001</v>
      </c>
      <c r="D90">
        <v>2.1000000000000001E-2</v>
      </c>
      <c r="E90">
        <v>0.92938921104836703</v>
      </c>
      <c r="F90" t="s">
        <v>2808</v>
      </c>
      <c r="G90" t="s">
        <v>2809</v>
      </c>
      <c r="H90" t="s">
        <v>2808</v>
      </c>
      <c r="I90" t="str">
        <f>HYPERLINK("https://zfin.org/")</f>
        <v>https://zfin.org/</v>
      </c>
    </row>
    <row r="91" spans="1:10" x14ac:dyDescent="0.2">
      <c r="A91">
        <v>6.1112569725230704E-5</v>
      </c>
      <c r="B91">
        <v>0.26888695727105699</v>
      </c>
      <c r="C91">
        <v>0.754</v>
      </c>
      <c r="D91">
        <v>0.54700000000000004</v>
      </c>
      <c r="E91">
        <v>0.94620591705574697</v>
      </c>
      <c r="F91" t="s">
        <v>2806</v>
      </c>
      <c r="G91" t="s">
        <v>2807</v>
      </c>
      <c r="H91" t="s">
        <v>2806</v>
      </c>
      <c r="I91" t="str">
        <f>HYPERLINK("https://zfin.org/ZDB-GENE-030131-9446")</f>
        <v>https://zfin.org/ZDB-GENE-030131-9446</v>
      </c>
      <c r="J91" t="s">
        <v>2805</v>
      </c>
    </row>
    <row r="92" spans="1:10" x14ac:dyDescent="0.2">
      <c r="A92">
        <v>7.3938807715699794E-5</v>
      </c>
      <c r="B92">
        <v>0.53902388286612202</v>
      </c>
      <c r="C92">
        <v>0.52500000000000002</v>
      </c>
      <c r="D92">
        <v>0.375</v>
      </c>
      <c r="E92">
        <v>1</v>
      </c>
      <c r="F92" t="s">
        <v>2003</v>
      </c>
      <c r="G92" t="s">
        <v>2004</v>
      </c>
      <c r="H92" t="s">
        <v>2003</v>
      </c>
      <c r="I92" t="str">
        <f>HYPERLINK("https://zfin.org/ZDB-GENE-070119-3")</f>
        <v>https://zfin.org/ZDB-GENE-070119-3</v>
      </c>
      <c r="J92" t="s">
        <v>2002</v>
      </c>
    </row>
    <row r="93" spans="1:10" x14ac:dyDescent="0.2">
      <c r="A93">
        <v>7.5807969192481602E-5</v>
      </c>
      <c r="B93">
        <v>0.45464353053767997</v>
      </c>
      <c r="C93">
        <v>0.74299999999999999</v>
      </c>
      <c r="D93">
        <v>0.67600000000000005</v>
      </c>
      <c r="E93">
        <v>1</v>
      </c>
      <c r="F93" t="s">
        <v>249</v>
      </c>
      <c r="G93" t="s">
        <v>250</v>
      </c>
      <c r="H93" t="s">
        <v>249</v>
      </c>
      <c r="I93" t="str">
        <f>HYPERLINK("https://zfin.org/ZDB-GENE-141212-380")</f>
        <v>https://zfin.org/ZDB-GENE-141212-380</v>
      </c>
      <c r="J93" t="s">
        <v>251</v>
      </c>
    </row>
    <row r="94" spans="1:10" x14ac:dyDescent="0.2">
      <c r="A94">
        <v>1.00030805177968E-4</v>
      </c>
      <c r="B94">
        <v>0.340272893628288</v>
      </c>
      <c r="C94">
        <v>0.35799999999999998</v>
      </c>
      <c r="D94">
        <v>0.20100000000000001</v>
      </c>
      <c r="E94">
        <v>1</v>
      </c>
      <c r="F94" t="s">
        <v>2803</v>
      </c>
      <c r="G94" t="s">
        <v>2804</v>
      </c>
      <c r="H94" t="s">
        <v>2803</v>
      </c>
      <c r="I94" t="str">
        <f>HYPERLINK("https://zfin.org/ZDB-GENE-030715-1")</f>
        <v>https://zfin.org/ZDB-GENE-030715-1</v>
      </c>
      <c r="J94" t="s">
        <v>2802</v>
      </c>
    </row>
    <row r="95" spans="1:10" x14ac:dyDescent="0.2">
      <c r="A95">
        <v>1.13376752920875E-4</v>
      </c>
      <c r="B95">
        <v>0.29623937387035298</v>
      </c>
      <c r="C95">
        <v>0.22900000000000001</v>
      </c>
      <c r="D95">
        <v>9.9000000000000005E-2</v>
      </c>
      <c r="E95">
        <v>1</v>
      </c>
      <c r="F95" t="s">
        <v>2364</v>
      </c>
      <c r="G95" t="s">
        <v>2365</v>
      </c>
      <c r="H95" t="s">
        <v>2364</v>
      </c>
      <c r="I95" t="str">
        <f>HYPERLINK("https://zfin.org/ZDB-GENE-090406-1")</f>
        <v>https://zfin.org/ZDB-GENE-090406-1</v>
      </c>
      <c r="J95" t="s">
        <v>2363</v>
      </c>
    </row>
    <row r="96" spans="1:10" x14ac:dyDescent="0.2">
      <c r="A96">
        <v>1.1384442906288801E-4</v>
      </c>
      <c r="B96">
        <v>0.42066156175493702</v>
      </c>
      <c r="C96">
        <v>0.56399999999999995</v>
      </c>
      <c r="D96">
        <v>0.42599999999999999</v>
      </c>
      <c r="E96">
        <v>1</v>
      </c>
      <c r="F96" t="s">
        <v>1644</v>
      </c>
      <c r="G96" t="s">
        <v>1645</v>
      </c>
      <c r="H96" t="s">
        <v>1644</v>
      </c>
      <c r="I96" t="str">
        <f>HYPERLINK("https://zfin.org/ZDB-GENE-040718-197")</f>
        <v>https://zfin.org/ZDB-GENE-040718-197</v>
      </c>
      <c r="J96" t="s">
        <v>1643</v>
      </c>
    </row>
    <row r="97" spans="1:10" x14ac:dyDescent="0.2">
      <c r="A97">
        <v>1.2197523112577399E-4</v>
      </c>
      <c r="B97">
        <v>0.33621842139941499</v>
      </c>
      <c r="C97">
        <v>0.218</v>
      </c>
      <c r="D97">
        <v>9.6000000000000002E-2</v>
      </c>
      <c r="E97">
        <v>1</v>
      </c>
      <c r="F97" t="s">
        <v>2800</v>
      </c>
      <c r="G97" t="s">
        <v>2801</v>
      </c>
      <c r="H97" t="s">
        <v>2800</v>
      </c>
      <c r="I97" t="str">
        <f>HYPERLINK("https://zfin.org/ZDB-GENE-110411-27")</f>
        <v>https://zfin.org/ZDB-GENE-110411-27</v>
      </c>
      <c r="J97" t="s">
        <v>2799</v>
      </c>
    </row>
    <row r="98" spans="1:10" x14ac:dyDescent="0.2">
      <c r="A98">
        <v>1.2313145042824601E-4</v>
      </c>
      <c r="B98">
        <v>0.27901767520401799</v>
      </c>
      <c r="C98">
        <v>0.23499999999999999</v>
      </c>
      <c r="D98">
        <v>0.108</v>
      </c>
      <c r="E98">
        <v>1</v>
      </c>
      <c r="F98" t="s">
        <v>2797</v>
      </c>
      <c r="G98" t="s">
        <v>2798</v>
      </c>
      <c r="H98" t="s">
        <v>2797</v>
      </c>
      <c r="I98" t="str">
        <f>HYPERLINK("https://zfin.org/ZDB-GENE-050417-328")</f>
        <v>https://zfin.org/ZDB-GENE-050417-328</v>
      </c>
      <c r="J98" t="s">
        <v>2796</v>
      </c>
    </row>
    <row r="99" spans="1:10" x14ac:dyDescent="0.2">
      <c r="A99">
        <v>1.4149890029307801E-4</v>
      </c>
      <c r="B99">
        <v>0.57671455160667096</v>
      </c>
      <c r="C99">
        <v>0.223</v>
      </c>
      <c r="D99">
        <v>0.105</v>
      </c>
      <c r="E99">
        <v>1</v>
      </c>
      <c r="F99" t="s">
        <v>2361</v>
      </c>
      <c r="G99" t="s">
        <v>2362</v>
      </c>
      <c r="H99" t="s">
        <v>2361</v>
      </c>
      <c r="I99" t="str">
        <f>HYPERLINK("https://zfin.org/ZDB-GENE-110418-1")</f>
        <v>https://zfin.org/ZDB-GENE-110418-1</v>
      </c>
      <c r="J99" t="s">
        <v>2360</v>
      </c>
    </row>
    <row r="100" spans="1:10" x14ac:dyDescent="0.2">
      <c r="A100">
        <v>1.49927281408793E-4</v>
      </c>
      <c r="B100">
        <v>0.29846621266766898</v>
      </c>
      <c r="C100">
        <v>0.67600000000000005</v>
      </c>
      <c r="D100">
        <v>0.50800000000000001</v>
      </c>
      <c r="E100">
        <v>1</v>
      </c>
      <c r="F100" t="s">
        <v>2015</v>
      </c>
      <c r="G100" t="s">
        <v>2016</v>
      </c>
      <c r="H100" t="s">
        <v>2015</v>
      </c>
      <c r="I100" t="str">
        <f>HYPERLINK("https://zfin.org/ZDB-GENE-030131-2415")</f>
        <v>https://zfin.org/ZDB-GENE-030131-2415</v>
      </c>
      <c r="J100" t="s">
        <v>2014</v>
      </c>
    </row>
    <row r="101" spans="1:10" x14ac:dyDescent="0.2">
      <c r="A101">
        <v>1.52850741034805E-4</v>
      </c>
      <c r="B101">
        <v>0.25567664972673398</v>
      </c>
      <c r="C101">
        <v>0.128</v>
      </c>
      <c r="D101">
        <v>3.9E-2</v>
      </c>
      <c r="E101">
        <v>1</v>
      </c>
      <c r="F101" t="s">
        <v>2795</v>
      </c>
      <c r="G101" t="s">
        <v>2794</v>
      </c>
      <c r="H101" t="s">
        <v>2793</v>
      </c>
      <c r="I101" t="str">
        <f>HYPERLINK("https://zfin.org/ZDB-GENE-110408-61")</f>
        <v>https://zfin.org/ZDB-GENE-110408-61</v>
      </c>
      <c r="J101" t="s">
        <v>2792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A0E79-62F9-1641-B229-24B41BA75689}">
  <dimension ref="A1:J88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1.1973445240156099E-18</v>
      </c>
      <c r="B2">
        <v>-1.3610421737979499</v>
      </c>
      <c r="C2">
        <v>0.626</v>
      </c>
      <c r="D2">
        <v>0.83199999999999996</v>
      </c>
      <c r="E2">
        <v>1.85384852653337E-14</v>
      </c>
      <c r="F2" t="s">
        <v>219</v>
      </c>
      <c r="G2" t="s">
        <v>220</v>
      </c>
      <c r="H2" t="s">
        <v>219</v>
      </c>
      <c r="I2" t="str">
        <f>HYPERLINK("https://zfin.org/ZDB-GENE-121214-200")</f>
        <v>https://zfin.org/ZDB-GENE-121214-200</v>
      </c>
      <c r="J2" t="s">
        <v>221</v>
      </c>
    </row>
    <row r="3" spans="1:10" x14ac:dyDescent="0.2">
      <c r="A3">
        <v>5.0983995843028697E-12</v>
      </c>
      <c r="B3">
        <v>-0.76420744769216298</v>
      </c>
      <c r="C3">
        <v>0.60299999999999998</v>
      </c>
      <c r="D3">
        <v>0.754</v>
      </c>
      <c r="E3">
        <v>7.8938520763761306E-8</v>
      </c>
      <c r="F3" t="s">
        <v>106</v>
      </c>
      <c r="G3" t="s">
        <v>107</v>
      </c>
      <c r="H3" t="s">
        <v>106</v>
      </c>
      <c r="I3" t="str">
        <f>HYPERLINK("https://zfin.org/ZDB-GENE-101011-2")</f>
        <v>https://zfin.org/ZDB-GENE-101011-2</v>
      </c>
      <c r="J3" t="s">
        <v>108</v>
      </c>
    </row>
    <row r="4" spans="1:10" x14ac:dyDescent="0.2">
      <c r="A4">
        <v>1.37869007456101E-11</v>
      </c>
      <c r="B4">
        <v>-0.93473404293852702</v>
      </c>
      <c r="C4">
        <v>7.2999999999999995E-2</v>
      </c>
      <c r="D4">
        <v>0.33300000000000002</v>
      </c>
      <c r="E4">
        <v>2.13462584244281E-7</v>
      </c>
      <c r="F4" t="s">
        <v>2515</v>
      </c>
      <c r="G4" t="s">
        <v>2516</v>
      </c>
      <c r="H4" t="s">
        <v>2515</v>
      </c>
      <c r="I4" t="str">
        <f>HYPERLINK("https://zfin.org/ZDB-GENE-030521-10")</f>
        <v>https://zfin.org/ZDB-GENE-030521-10</v>
      </c>
      <c r="J4" t="s">
        <v>2514</v>
      </c>
    </row>
    <row r="5" spans="1:10" x14ac:dyDescent="0.2">
      <c r="A5">
        <v>4.20214343680682E-11</v>
      </c>
      <c r="B5">
        <v>-0.69154577664992201</v>
      </c>
      <c r="C5">
        <v>0.46899999999999997</v>
      </c>
      <c r="D5">
        <v>0.67300000000000004</v>
      </c>
      <c r="E5">
        <v>6.5061786832080005E-7</v>
      </c>
      <c r="F5" t="s">
        <v>237</v>
      </c>
      <c r="G5" t="s">
        <v>238</v>
      </c>
      <c r="H5" t="s">
        <v>237</v>
      </c>
      <c r="I5" t="str">
        <f>HYPERLINK("https://zfin.org/ZDB-GENE-040426-2931")</f>
        <v>https://zfin.org/ZDB-GENE-040426-2931</v>
      </c>
      <c r="J5" t="s">
        <v>239</v>
      </c>
    </row>
    <row r="6" spans="1:10" x14ac:dyDescent="0.2">
      <c r="A6">
        <v>4.25187292230208E-11</v>
      </c>
      <c r="B6">
        <v>-0.37265512063990702</v>
      </c>
      <c r="C6">
        <v>0.93899999999999995</v>
      </c>
      <c r="D6">
        <v>0.95499999999999996</v>
      </c>
      <c r="E6">
        <v>6.5831748456003205E-7</v>
      </c>
      <c r="F6" t="s">
        <v>1032</v>
      </c>
      <c r="G6" t="s">
        <v>1033</v>
      </c>
      <c r="H6" t="s">
        <v>1032</v>
      </c>
      <c r="I6" t="str">
        <f>HYPERLINK("https://zfin.org/ZDB-GENE-030131-8951")</f>
        <v>https://zfin.org/ZDB-GENE-030131-8951</v>
      </c>
      <c r="J6" t="s">
        <v>1031</v>
      </c>
    </row>
    <row r="7" spans="1:10" x14ac:dyDescent="0.2">
      <c r="A7">
        <v>1.6315061908966401E-9</v>
      </c>
      <c r="B7">
        <v>-0.26248366833917303</v>
      </c>
      <c r="C7">
        <v>0.98299999999999998</v>
      </c>
      <c r="D7">
        <v>0.98799999999999999</v>
      </c>
      <c r="E7">
        <v>2.5260610353652699E-5</v>
      </c>
      <c r="F7" t="s">
        <v>1058</v>
      </c>
      <c r="G7" t="s">
        <v>1057</v>
      </c>
      <c r="H7" t="s">
        <v>1056</v>
      </c>
      <c r="I7" t="str">
        <f>HYPERLINK("https://zfin.org/ZDB-GENE-040625-39")</f>
        <v>https://zfin.org/ZDB-GENE-040625-39</v>
      </c>
      <c r="J7" t="s">
        <v>1055</v>
      </c>
    </row>
    <row r="8" spans="1:10" x14ac:dyDescent="0.2">
      <c r="A8">
        <v>3.5492945570037499E-9</v>
      </c>
      <c r="B8">
        <v>-0.30801891975564299</v>
      </c>
      <c r="C8">
        <v>1</v>
      </c>
      <c r="D8">
        <v>1</v>
      </c>
      <c r="E8">
        <v>5.4953727626089102E-5</v>
      </c>
      <c r="F8" t="s">
        <v>10</v>
      </c>
      <c r="G8" t="s">
        <v>11</v>
      </c>
      <c r="H8" t="s">
        <v>10</v>
      </c>
      <c r="I8" t="str">
        <f>HYPERLINK("https://zfin.org/ZDB-GENE-080225-18")</f>
        <v>https://zfin.org/ZDB-GENE-080225-18</v>
      </c>
      <c r="J8" t="s">
        <v>12</v>
      </c>
    </row>
    <row r="9" spans="1:10" x14ac:dyDescent="0.2">
      <c r="A9">
        <v>6.4842989512632698E-8</v>
      </c>
      <c r="B9">
        <v>-0.26506178141219</v>
      </c>
      <c r="C9">
        <v>0.95</v>
      </c>
      <c r="D9">
        <v>0.95799999999999996</v>
      </c>
      <c r="E9">
        <v>1.0039640066240899E-3</v>
      </c>
      <c r="F9" t="s">
        <v>978</v>
      </c>
      <c r="G9" t="s">
        <v>979</v>
      </c>
      <c r="H9" t="s">
        <v>978</v>
      </c>
      <c r="I9" t="str">
        <f>HYPERLINK("https://zfin.org/ZDB-GENE-031001-9")</f>
        <v>https://zfin.org/ZDB-GENE-031001-9</v>
      </c>
      <c r="J9" t="s">
        <v>977</v>
      </c>
    </row>
    <row r="10" spans="1:10" x14ac:dyDescent="0.2">
      <c r="A10">
        <v>2.47559130907531E-7</v>
      </c>
      <c r="B10">
        <v>-0.55575506479087899</v>
      </c>
      <c r="C10">
        <v>0.65900000000000003</v>
      </c>
      <c r="D10">
        <v>0.754</v>
      </c>
      <c r="E10">
        <v>3.8329580238413001E-3</v>
      </c>
      <c r="F10" t="s">
        <v>1476</v>
      </c>
      <c r="G10" t="s">
        <v>1477</v>
      </c>
      <c r="H10" t="s">
        <v>1476</v>
      </c>
      <c r="I10" t="str">
        <f>HYPERLINK("https://zfin.org/ZDB-GENE-000619-1")</f>
        <v>https://zfin.org/ZDB-GENE-000619-1</v>
      </c>
      <c r="J10" t="s">
        <v>1475</v>
      </c>
    </row>
    <row r="11" spans="1:10" x14ac:dyDescent="0.2">
      <c r="A11">
        <v>3.1100529305069101E-7</v>
      </c>
      <c r="B11">
        <v>-0.28686031382661797</v>
      </c>
      <c r="C11">
        <v>0.91100000000000003</v>
      </c>
      <c r="D11">
        <v>0.92200000000000004</v>
      </c>
      <c r="E11">
        <v>4.8152949523038498E-3</v>
      </c>
      <c r="F11" t="s">
        <v>996</v>
      </c>
      <c r="G11" t="s">
        <v>997</v>
      </c>
      <c r="H11" t="s">
        <v>996</v>
      </c>
      <c r="I11" t="str">
        <f>HYPERLINK("https://zfin.org/ZDB-GENE-040426-1670")</f>
        <v>https://zfin.org/ZDB-GENE-040426-1670</v>
      </c>
      <c r="J11" t="s">
        <v>995</v>
      </c>
    </row>
    <row r="12" spans="1:10" x14ac:dyDescent="0.2">
      <c r="A12">
        <v>8.7117184081685003E-7</v>
      </c>
      <c r="B12">
        <v>-0.523445835434177</v>
      </c>
      <c r="C12">
        <v>0.30199999999999999</v>
      </c>
      <c r="D12">
        <v>0.49199999999999999</v>
      </c>
      <c r="E12">
        <v>1.34883536113673E-2</v>
      </c>
      <c r="F12" t="s">
        <v>2581</v>
      </c>
      <c r="G12" t="s">
        <v>2582</v>
      </c>
      <c r="H12" t="s">
        <v>2581</v>
      </c>
      <c r="I12" t="str">
        <f>HYPERLINK("https://zfin.org/ZDB-GENE-030131-7103")</f>
        <v>https://zfin.org/ZDB-GENE-030131-7103</v>
      </c>
      <c r="J12" t="s">
        <v>2580</v>
      </c>
    </row>
    <row r="13" spans="1:10" x14ac:dyDescent="0.2">
      <c r="A13">
        <v>1.0689457001337499E-6</v>
      </c>
      <c r="B13">
        <v>-0.28095303584910403</v>
      </c>
      <c r="C13">
        <v>0.92200000000000004</v>
      </c>
      <c r="D13">
        <v>0.92800000000000005</v>
      </c>
      <c r="E13">
        <v>1.6550486275170799E-2</v>
      </c>
      <c r="F13" t="s">
        <v>1005</v>
      </c>
      <c r="G13" t="s">
        <v>1006</v>
      </c>
      <c r="H13" t="s">
        <v>1005</v>
      </c>
      <c r="I13" t="str">
        <f>HYPERLINK("https://zfin.org/ZDB-GENE-040426-1718")</f>
        <v>https://zfin.org/ZDB-GENE-040426-1718</v>
      </c>
      <c r="J13" t="s">
        <v>1004</v>
      </c>
    </row>
    <row r="14" spans="1:10" x14ac:dyDescent="0.2">
      <c r="A14">
        <v>1.3598618157983101E-6</v>
      </c>
      <c r="B14">
        <v>-0.256361758904953</v>
      </c>
      <c r="C14">
        <v>0.91600000000000004</v>
      </c>
      <c r="D14">
        <v>0.94899999999999995</v>
      </c>
      <c r="E14">
        <v>2.10547404940052E-2</v>
      </c>
      <c r="F14" t="s">
        <v>303</v>
      </c>
      <c r="G14" t="s">
        <v>304</v>
      </c>
      <c r="H14" t="s">
        <v>303</v>
      </c>
      <c r="I14" t="str">
        <f>HYPERLINK("https://zfin.org/ZDB-GENE-030131-2025")</f>
        <v>https://zfin.org/ZDB-GENE-030131-2025</v>
      </c>
      <c r="J14" t="s">
        <v>305</v>
      </c>
    </row>
    <row r="15" spans="1:10" x14ac:dyDescent="0.2">
      <c r="A15">
        <v>1.5532969848723199E-6</v>
      </c>
      <c r="B15">
        <v>-0.335897499617755</v>
      </c>
      <c r="C15">
        <v>0.93300000000000005</v>
      </c>
      <c r="D15">
        <v>0.92200000000000004</v>
      </c>
      <c r="E15">
        <v>2.4049697216778101E-2</v>
      </c>
      <c r="F15" t="s">
        <v>37</v>
      </c>
      <c r="G15" t="s">
        <v>38</v>
      </c>
      <c r="H15" t="s">
        <v>37</v>
      </c>
      <c r="I15" t="str">
        <f>HYPERLINK("https://zfin.org/ZDB-GENE-110411-160")</f>
        <v>https://zfin.org/ZDB-GENE-110411-160</v>
      </c>
      <c r="J15" t="s">
        <v>39</v>
      </c>
    </row>
    <row r="16" spans="1:10" x14ac:dyDescent="0.2">
      <c r="A16">
        <v>1.7660676322797401E-6</v>
      </c>
      <c r="B16">
        <v>-0.29058112901918598</v>
      </c>
      <c r="C16">
        <v>0.89900000000000002</v>
      </c>
      <c r="D16">
        <v>0.93100000000000005</v>
      </c>
      <c r="E16">
        <v>2.73440251505872E-2</v>
      </c>
      <c r="F16" t="s">
        <v>963</v>
      </c>
      <c r="G16" t="s">
        <v>964</v>
      </c>
      <c r="H16" t="s">
        <v>963</v>
      </c>
      <c r="I16" t="str">
        <f>HYPERLINK("https://zfin.org/ZDB-GENE-030131-9184")</f>
        <v>https://zfin.org/ZDB-GENE-030131-9184</v>
      </c>
      <c r="J16" t="s">
        <v>962</v>
      </c>
    </row>
    <row r="17" spans="1:10" x14ac:dyDescent="0.2">
      <c r="A17">
        <v>2.0568660950466699E-6</v>
      </c>
      <c r="B17">
        <v>-0.58817209684564997</v>
      </c>
      <c r="C17">
        <v>0.41899999999999998</v>
      </c>
      <c r="D17">
        <v>0.57999999999999996</v>
      </c>
      <c r="E17">
        <v>3.1846457749607503E-2</v>
      </c>
      <c r="F17" t="s">
        <v>246</v>
      </c>
      <c r="G17" t="s">
        <v>247</v>
      </c>
      <c r="H17" t="s">
        <v>246</v>
      </c>
      <c r="I17" t="str">
        <f>HYPERLINK("https://zfin.org/ZDB-GENE-040426-2720")</f>
        <v>https://zfin.org/ZDB-GENE-040426-2720</v>
      </c>
      <c r="J17" t="s">
        <v>248</v>
      </c>
    </row>
    <row r="18" spans="1:10" x14ac:dyDescent="0.2">
      <c r="A18">
        <v>3.0155296909281301E-6</v>
      </c>
      <c r="B18">
        <v>-0.27386466958150402</v>
      </c>
      <c r="C18">
        <v>0.89900000000000002</v>
      </c>
      <c r="D18">
        <v>0.89200000000000002</v>
      </c>
      <c r="E18">
        <v>4.6689446204640203E-2</v>
      </c>
      <c r="F18" t="s">
        <v>833</v>
      </c>
      <c r="G18" t="s">
        <v>834</v>
      </c>
      <c r="H18" t="s">
        <v>833</v>
      </c>
      <c r="I18" t="str">
        <f>HYPERLINK("https://zfin.org/ZDB-GENE-030131-8585")</f>
        <v>https://zfin.org/ZDB-GENE-030131-8585</v>
      </c>
      <c r="J18" t="s">
        <v>832</v>
      </c>
    </row>
    <row r="19" spans="1:10" x14ac:dyDescent="0.2">
      <c r="A19">
        <v>4.5425664575770498E-6</v>
      </c>
      <c r="B19">
        <v>-0.80468813069911505</v>
      </c>
      <c r="C19">
        <v>0.218</v>
      </c>
      <c r="D19">
        <v>0.39300000000000002</v>
      </c>
      <c r="E19">
        <v>7.0332556462665397E-2</v>
      </c>
      <c r="F19" t="s">
        <v>2563</v>
      </c>
      <c r="G19" t="s">
        <v>2564</v>
      </c>
      <c r="H19" t="s">
        <v>2563</v>
      </c>
      <c r="I19" t="str">
        <f>HYPERLINK("https://zfin.org/ZDB-GENE-131127-95")</f>
        <v>https://zfin.org/ZDB-GENE-131127-95</v>
      </c>
      <c r="J19" t="s">
        <v>2562</v>
      </c>
    </row>
    <row r="20" spans="1:10" x14ac:dyDescent="0.2">
      <c r="A20">
        <v>4.85271108047054E-6</v>
      </c>
      <c r="B20">
        <v>-0.51830535935589905</v>
      </c>
      <c r="C20">
        <v>0.23499999999999999</v>
      </c>
      <c r="D20">
        <v>0.42</v>
      </c>
      <c r="E20">
        <v>7.5134525658925394E-2</v>
      </c>
      <c r="F20" t="s">
        <v>2566</v>
      </c>
      <c r="G20" t="s">
        <v>2567</v>
      </c>
      <c r="H20" t="s">
        <v>2566</v>
      </c>
      <c r="I20" t="str">
        <f>HYPERLINK("https://zfin.org/ZDB-GENE-030131-9914")</f>
        <v>https://zfin.org/ZDB-GENE-030131-9914</v>
      </c>
      <c r="J20" t="s">
        <v>2565</v>
      </c>
    </row>
    <row r="21" spans="1:10" x14ac:dyDescent="0.2">
      <c r="A21">
        <v>6.6433665339090699E-6</v>
      </c>
      <c r="B21">
        <v>-0.55441339290119396</v>
      </c>
      <c r="C21">
        <v>4.4999999999999998E-2</v>
      </c>
      <c r="D21">
        <v>0.183</v>
      </c>
      <c r="E21">
        <v>0.10285924404451401</v>
      </c>
      <c r="F21" t="s">
        <v>1149</v>
      </c>
      <c r="G21" t="s">
        <v>1150</v>
      </c>
      <c r="H21" t="s">
        <v>1149</v>
      </c>
      <c r="I21" t="str">
        <f>HYPERLINK("https://zfin.org/ZDB-GENE-070912-648")</f>
        <v>https://zfin.org/ZDB-GENE-070912-648</v>
      </c>
      <c r="J21" t="s">
        <v>1148</v>
      </c>
    </row>
    <row r="22" spans="1:10" x14ac:dyDescent="0.2">
      <c r="A22">
        <v>7.2930022520111398E-6</v>
      </c>
      <c r="B22">
        <v>-0.33233839504588197</v>
      </c>
      <c r="C22">
        <v>0</v>
      </c>
      <c r="D22">
        <v>0.105</v>
      </c>
      <c r="E22">
        <v>0.112917553867889</v>
      </c>
      <c r="F22" t="s">
        <v>2713</v>
      </c>
      <c r="G22" t="s">
        <v>2714</v>
      </c>
      <c r="H22" t="s">
        <v>2713</v>
      </c>
      <c r="I22" t="str">
        <f>HYPERLINK("https://zfin.org/ZDB-GENE-030131-4663")</f>
        <v>https://zfin.org/ZDB-GENE-030131-4663</v>
      </c>
      <c r="J22" t="s">
        <v>2712</v>
      </c>
    </row>
    <row r="23" spans="1:10" x14ac:dyDescent="0.2">
      <c r="A23">
        <v>8.4254507341337493E-6</v>
      </c>
      <c r="B23">
        <v>-0.32880260099448999</v>
      </c>
      <c r="C23">
        <v>0.82699999999999996</v>
      </c>
      <c r="D23">
        <v>0.85899999999999999</v>
      </c>
      <c r="E23">
        <v>0.130451253716593</v>
      </c>
      <c r="F23" t="s">
        <v>118</v>
      </c>
      <c r="G23" t="s">
        <v>119</v>
      </c>
      <c r="H23" t="s">
        <v>118</v>
      </c>
      <c r="I23" t="str">
        <f>HYPERLINK("https://zfin.org/ZDB-GENE-030410-1")</f>
        <v>https://zfin.org/ZDB-GENE-030410-1</v>
      </c>
      <c r="J23" t="s">
        <v>120</v>
      </c>
    </row>
    <row r="24" spans="1:10" x14ac:dyDescent="0.2">
      <c r="A24">
        <v>1.2487840386226501E-5</v>
      </c>
      <c r="B24">
        <v>-0.76574868432578103</v>
      </c>
      <c r="C24">
        <v>0.10100000000000001</v>
      </c>
      <c r="D24">
        <v>0.246</v>
      </c>
      <c r="E24">
        <v>0.193349232699945</v>
      </c>
      <c r="F24" t="s">
        <v>1337</v>
      </c>
      <c r="G24" t="s">
        <v>1338</v>
      </c>
      <c r="H24" t="s">
        <v>1337</v>
      </c>
      <c r="I24" t="str">
        <f>HYPERLINK("https://zfin.org/ZDB-GENE-110411-139")</f>
        <v>https://zfin.org/ZDB-GENE-110411-139</v>
      </c>
      <c r="J24" t="s">
        <v>1336</v>
      </c>
    </row>
    <row r="25" spans="1:10" x14ac:dyDescent="0.2">
      <c r="A25">
        <v>3.6556468945824698E-5</v>
      </c>
      <c r="B25">
        <v>-0.34896568951874701</v>
      </c>
      <c r="C25">
        <v>0.64800000000000002</v>
      </c>
      <c r="D25">
        <v>0.71199999999999997</v>
      </c>
      <c r="E25">
        <v>0.56600380868820399</v>
      </c>
      <c r="F25" t="s">
        <v>141</v>
      </c>
      <c r="G25" t="s">
        <v>142</v>
      </c>
      <c r="H25" t="s">
        <v>141</v>
      </c>
      <c r="I25" t="str">
        <f>HYPERLINK("https://zfin.org/ZDB-GENE-040426-2770")</f>
        <v>https://zfin.org/ZDB-GENE-040426-2770</v>
      </c>
      <c r="J25" t="s">
        <v>143</v>
      </c>
    </row>
    <row r="26" spans="1:10" x14ac:dyDescent="0.2">
      <c r="A26">
        <v>3.7282242170693702E-5</v>
      </c>
      <c r="B26">
        <v>-0.54963105896091802</v>
      </c>
      <c r="C26">
        <v>3.4000000000000002E-2</v>
      </c>
      <c r="D26">
        <v>0.15</v>
      </c>
      <c r="E26">
        <v>0.57724095552885002</v>
      </c>
      <c r="F26" t="s">
        <v>2961</v>
      </c>
      <c r="G26" t="s">
        <v>2962</v>
      </c>
      <c r="H26" t="s">
        <v>2961</v>
      </c>
      <c r="I26" t="str">
        <f>HYPERLINK("https://zfin.org/ZDB-GENE-060331-57")</f>
        <v>https://zfin.org/ZDB-GENE-060331-57</v>
      </c>
      <c r="J26" t="s">
        <v>2960</v>
      </c>
    </row>
    <row r="27" spans="1:10" x14ac:dyDescent="0.2">
      <c r="A27">
        <v>4.8028492579050799E-5</v>
      </c>
      <c r="B27">
        <v>-0.28649442287325499</v>
      </c>
      <c r="C27">
        <v>0.84399999999999997</v>
      </c>
      <c r="D27">
        <v>0.91900000000000004</v>
      </c>
      <c r="E27">
        <v>0.74362515060144296</v>
      </c>
      <c r="F27" t="s">
        <v>198</v>
      </c>
      <c r="G27" t="s">
        <v>199</v>
      </c>
      <c r="H27" t="s">
        <v>198</v>
      </c>
      <c r="I27" t="str">
        <f>HYPERLINK("https://zfin.org/ZDB-GENE-990712-18")</f>
        <v>https://zfin.org/ZDB-GENE-990712-18</v>
      </c>
      <c r="J27" t="s">
        <v>200</v>
      </c>
    </row>
    <row r="28" spans="1:10" x14ac:dyDescent="0.2">
      <c r="A28">
        <v>4.9794528459188401E-5</v>
      </c>
      <c r="B28">
        <v>-0.47989025510563099</v>
      </c>
      <c r="C28">
        <v>0.251</v>
      </c>
      <c r="D28">
        <v>0.40799999999999997</v>
      </c>
      <c r="E28">
        <v>0.77096868413361397</v>
      </c>
      <c r="F28" t="s">
        <v>1906</v>
      </c>
      <c r="G28" t="s">
        <v>1907</v>
      </c>
      <c r="H28" t="s">
        <v>1906</v>
      </c>
      <c r="I28" t="str">
        <f>HYPERLINK("https://zfin.org/ZDB-GENE-980526-416")</f>
        <v>https://zfin.org/ZDB-GENE-980526-416</v>
      </c>
      <c r="J28" t="s">
        <v>1905</v>
      </c>
    </row>
    <row r="29" spans="1:10" x14ac:dyDescent="0.2">
      <c r="A29">
        <v>5.3901257718362199E-5</v>
      </c>
      <c r="B29">
        <v>-0.34807901438991201</v>
      </c>
      <c r="C29">
        <v>0.92200000000000004</v>
      </c>
      <c r="D29">
        <v>0.94</v>
      </c>
      <c r="E29">
        <v>0.83455317325340195</v>
      </c>
      <c r="F29" t="s">
        <v>76</v>
      </c>
      <c r="G29" t="s">
        <v>77</v>
      </c>
      <c r="H29" t="s">
        <v>76</v>
      </c>
      <c r="I29" t="str">
        <f>HYPERLINK("https://zfin.org/ZDB-GENE-031001-11")</f>
        <v>https://zfin.org/ZDB-GENE-031001-11</v>
      </c>
      <c r="J29" t="s">
        <v>78</v>
      </c>
    </row>
    <row r="30" spans="1:10" x14ac:dyDescent="0.2">
      <c r="A30">
        <v>6.7914298731256299E-5</v>
      </c>
      <c r="B30">
        <v>-0.365482448757944</v>
      </c>
      <c r="C30">
        <v>0.60299999999999998</v>
      </c>
      <c r="D30">
        <v>0.69399999999999995</v>
      </c>
      <c r="E30">
        <v>1</v>
      </c>
      <c r="F30" t="s">
        <v>195</v>
      </c>
      <c r="G30" t="s">
        <v>196</v>
      </c>
      <c r="H30" t="s">
        <v>195</v>
      </c>
      <c r="I30" t="str">
        <f>HYPERLINK("https://zfin.org/ZDB-GENE-030131-5493")</f>
        <v>https://zfin.org/ZDB-GENE-030131-5493</v>
      </c>
      <c r="J30" t="s">
        <v>197</v>
      </c>
    </row>
    <row r="31" spans="1:10" x14ac:dyDescent="0.2">
      <c r="A31">
        <v>7.0914328093851802E-5</v>
      </c>
      <c r="B31">
        <v>-0.47288770400583702</v>
      </c>
      <c r="C31">
        <v>0.21199999999999999</v>
      </c>
      <c r="D31">
        <v>0.36</v>
      </c>
      <c r="E31">
        <v>1</v>
      </c>
      <c r="F31" t="s">
        <v>2958</v>
      </c>
      <c r="G31" t="s">
        <v>2959</v>
      </c>
      <c r="H31" t="s">
        <v>2958</v>
      </c>
      <c r="I31" t="str">
        <f>HYPERLINK("https://zfin.org/ZDB-GENE-040801-215")</f>
        <v>https://zfin.org/ZDB-GENE-040801-215</v>
      </c>
      <c r="J31" t="s">
        <v>2957</v>
      </c>
    </row>
    <row r="32" spans="1:10" x14ac:dyDescent="0.2">
      <c r="A32">
        <v>7.1817896634574402E-5</v>
      </c>
      <c r="B32">
        <v>-0.280257863821055</v>
      </c>
      <c r="C32">
        <v>0.872</v>
      </c>
      <c r="D32">
        <v>0.91600000000000004</v>
      </c>
      <c r="E32">
        <v>1</v>
      </c>
      <c r="F32" t="s">
        <v>94</v>
      </c>
      <c r="G32" t="s">
        <v>95</v>
      </c>
      <c r="H32" t="s">
        <v>94</v>
      </c>
      <c r="I32" t="str">
        <f>HYPERLINK("https://zfin.org/ZDB-GENE-010129-1")</f>
        <v>https://zfin.org/ZDB-GENE-010129-1</v>
      </c>
      <c r="J32" t="s">
        <v>96</v>
      </c>
    </row>
    <row r="33" spans="1:10" x14ac:dyDescent="0.2">
      <c r="A33">
        <v>7.9043091968059303E-5</v>
      </c>
      <c r="B33">
        <v>-0.672507287187745</v>
      </c>
      <c r="C33">
        <v>9.5000000000000001E-2</v>
      </c>
      <c r="D33">
        <v>0.22500000000000001</v>
      </c>
      <c r="E33">
        <v>1</v>
      </c>
      <c r="F33" t="s">
        <v>1397</v>
      </c>
      <c r="G33" t="s">
        <v>1398</v>
      </c>
      <c r="H33" t="s">
        <v>1397</v>
      </c>
      <c r="I33" t="str">
        <f>HYPERLINK("https://zfin.org/ZDB-GENE-110411-258")</f>
        <v>https://zfin.org/ZDB-GENE-110411-258</v>
      </c>
      <c r="J33" t="s">
        <v>1396</v>
      </c>
    </row>
    <row r="34" spans="1:10" x14ac:dyDescent="0.2">
      <c r="A34">
        <v>8.1141824935227605E-5</v>
      </c>
      <c r="B34">
        <v>-0.37786688524465101</v>
      </c>
      <c r="C34">
        <v>0.51400000000000001</v>
      </c>
      <c r="D34">
        <v>0.63700000000000001</v>
      </c>
      <c r="E34">
        <v>1</v>
      </c>
      <c r="F34" t="s">
        <v>1430</v>
      </c>
      <c r="G34" t="s">
        <v>1431</v>
      </c>
      <c r="H34" t="s">
        <v>1430</v>
      </c>
      <c r="I34" t="str">
        <f>HYPERLINK("https://zfin.org/ZDB-GENE-030829-65")</f>
        <v>https://zfin.org/ZDB-GENE-030829-65</v>
      </c>
      <c r="J34" t="s">
        <v>1429</v>
      </c>
    </row>
    <row r="35" spans="1:10" x14ac:dyDescent="0.2">
      <c r="A35">
        <v>8.1416987262421399E-5</v>
      </c>
      <c r="B35">
        <v>-0.39341120240172001</v>
      </c>
      <c r="C35">
        <v>7.8E-2</v>
      </c>
      <c r="D35">
        <v>0.20699999999999999</v>
      </c>
      <c r="E35">
        <v>1</v>
      </c>
      <c r="F35" t="s">
        <v>2587</v>
      </c>
      <c r="G35" t="s">
        <v>2588</v>
      </c>
      <c r="H35" t="s">
        <v>2587</v>
      </c>
      <c r="I35" t="str">
        <f>HYPERLINK("https://zfin.org/ZDB-GENE-040426-2296")</f>
        <v>https://zfin.org/ZDB-GENE-040426-2296</v>
      </c>
      <c r="J35" t="s">
        <v>2586</v>
      </c>
    </row>
    <row r="36" spans="1:10" x14ac:dyDescent="0.2">
      <c r="A36">
        <v>8.4825898279128505E-5</v>
      </c>
      <c r="B36">
        <v>-0.45833944070895399</v>
      </c>
      <c r="C36">
        <v>0.25700000000000001</v>
      </c>
      <c r="D36">
        <v>0.41399999999999998</v>
      </c>
      <c r="E36">
        <v>1</v>
      </c>
      <c r="F36" t="s">
        <v>2646</v>
      </c>
      <c r="G36" t="s">
        <v>2647</v>
      </c>
      <c r="H36" t="s">
        <v>2646</v>
      </c>
      <c r="I36" t="str">
        <f>HYPERLINK("https://zfin.org/ZDB-GENE-070112-2272")</f>
        <v>https://zfin.org/ZDB-GENE-070112-2272</v>
      </c>
      <c r="J36" t="s">
        <v>2645</v>
      </c>
    </row>
    <row r="37" spans="1:10" x14ac:dyDescent="0.2">
      <c r="A37">
        <v>1.32232868194182E-4</v>
      </c>
      <c r="B37">
        <v>-0.43819734325727999</v>
      </c>
      <c r="C37">
        <v>0.19600000000000001</v>
      </c>
      <c r="D37">
        <v>0.33</v>
      </c>
      <c r="E37">
        <v>1</v>
      </c>
      <c r="F37" t="s">
        <v>1319</v>
      </c>
      <c r="G37" t="s">
        <v>1320</v>
      </c>
      <c r="H37" t="s">
        <v>1319</v>
      </c>
      <c r="I37" t="str">
        <f>HYPERLINK("https://zfin.org/ZDB-GENE-051120-147")</f>
        <v>https://zfin.org/ZDB-GENE-051120-147</v>
      </c>
      <c r="J37" t="s">
        <v>1318</v>
      </c>
    </row>
    <row r="38" spans="1:10" x14ac:dyDescent="0.2">
      <c r="A38">
        <v>1.62307390148658E-4</v>
      </c>
      <c r="B38">
        <v>-0.28865558248322098</v>
      </c>
      <c r="C38">
        <v>2.1999999999999999E-2</v>
      </c>
      <c r="D38">
        <v>0.12</v>
      </c>
      <c r="E38">
        <v>1</v>
      </c>
      <c r="F38" t="s">
        <v>2584</v>
      </c>
      <c r="G38" t="s">
        <v>2585</v>
      </c>
      <c r="H38" t="s">
        <v>2584</v>
      </c>
      <c r="I38" t="str">
        <f>HYPERLINK("https://zfin.org/ZDB-GENE-040704-33")</f>
        <v>https://zfin.org/ZDB-GENE-040704-33</v>
      </c>
      <c r="J38" t="s">
        <v>2583</v>
      </c>
    </row>
    <row r="39" spans="1:10" x14ac:dyDescent="0.2">
      <c r="A39">
        <v>1.8744180077201101E-4</v>
      </c>
      <c r="B39">
        <v>-0.50014656474722297</v>
      </c>
      <c r="C39">
        <v>0.19600000000000001</v>
      </c>
      <c r="D39">
        <v>0.33300000000000002</v>
      </c>
      <c r="E39">
        <v>1</v>
      </c>
      <c r="F39" t="s">
        <v>2479</v>
      </c>
      <c r="G39" t="s">
        <v>2480</v>
      </c>
      <c r="H39" t="s">
        <v>2479</v>
      </c>
      <c r="I39" t="str">
        <f>HYPERLINK("https://zfin.org/ZDB-GENE-050417-307")</f>
        <v>https://zfin.org/ZDB-GENE-050417-307</v>
      </c>
      <c r="J39" t="s">
        <v>2478</v>
      </c>
    </row>
    <row r="40" spans="1:10" x14ac:dyDescent="0.2">
      <c r="A40">
        <v>2.5619176088849101E-4</v>
      </c>
      <c r="B40">
        <v>-0.36283586087603098</v>
      </c>
      <c r="C40">
        <v>0.14000000000000001</v>
      </c>
      <c r="D40">
        <v>0.27300000000000002</v>
      </c>
      <c r="E40">
        <v>1</v>
      </c>
      <c r="F40" t="s">
        <v>2551</v>
      </c>
      <c r="G40" t="s">
        <v>2552</v>
      </c>
      <c r="H40" t="s">
        <v>2551</v>
      </c>
      <c r="I40" t="str">
        <f>HYPERLINK("https://zfin.org/ZDB-GENE-040912-24")</f>
        <v>https://zfin.org/ZDB-GENE-040912-24</v>
      </c>
      <c r="J40" t="s">
        <v>2550</v>
      </c>
    </row>
    <row r="41" spans="1:10" x14ac:dyDescent="0.2">
      <c r="A41">
        <v>2.7824450770417398E-4</v>
      </c>
      <c r="B41">
        <v>-0.43871148648137598</v>
      </c>
      <c r="C41">
        <v>0.27400000000000002</v>
      </c>
      <c r="D41">
        <v>0.41399999999999998</v>
      </c>
      <c r="E41">
        <v>1</v>
      </c>
      <c r="F41" t="s">
        <v>1274</v>
      </c>
      <c r="G41" t="s">
        <v>1275</v>
      </c>
      <c r="H41" t="s">
        <v>1274</v>
      </c>
      <c r="I41" t="str">
        <f>HYPERLINK("https://zfin.org/ZDB-GENE-031016-2")</f>
        <v>https://zfin.org/ZDB-GENE-031016-2</v>
      </c>
      <c r="J41" t="s">
        <v>1273</v>
      </c>
    </row>
    <row r="42" spans="1:10" x14ac:dyDescent="0.2">
      <c r="A42">
        <v>2.8250196352321201E-4</v>
      </c>
      <c r="B42">
        <v>-0.41863153669035602</v>
      </c>
      <c r="C42">
        <v>0.22900000000000001</v>
      </c>
      <c r="D42">
        <v>0.36899999999999999</v>
      </c>
      <c r="E42">
        <v>1</v>
      </c>
      <c r="F42" t="s">
        <v>733</v>
      </c>
      <c r="G42" t="s">
        <v>734</v>
      </c>
      <c r="H42" t="s">
        <v>733</v>
      </c>
      <c r="I42" t="str">
        <f>HYPERLINK("https://zfin.org/ZDB-GENE-080723-23")</f>
        <v>https://zfin.org/ZDB-GENE-080723-23</v>
      </c>
      <c r="J42" t="s">
        <v>732</v>
      </c>
    </row>
    <row r="43" spans="1:10" x14ac:dyDescent="0.2">
      <c r="A43">
        <v>2.9792078166868699E-4</v>
      </c>
      <c r="B43">
        <v>-0.43203098681866298</v>
      </c>
      <c r="C43">
        <v>0.313</v>
      </c>
      <c r="D43">
        <v>0.435</v>
      </c>
      <c r="E43">
        <v>1</v>
      </c>
      <c r="F43" t="s">
        <v>2955</v>
      </c>
      <c r="G43" t="s">
        <v>2956</v>
      </c>
      <c r="H43" t="s">
        <v>2955</v>
      </c>
      <c r="I43" t="str">
        <f>HYPERLINK("https://zfin.org/ZDB-GENE-030131-7038")</f>
        <v>https://zfin.org/ZDB-GENE-030131-7038</v>
      </c>
      <c r="J43" t="s">
        <v>2954</v>
      </c>
    </row>
    <row r="44" spans="1:10" x14ac:dyDescent="0.2">
      <c r="A44">
        <v>3.0425359101042603E-4</v>
      </c>
      <c r="B44">
        <v>-0.31996446871768702</v>
      </c>
      <c r="C44">
        <v>3.4000000000000002E-2</v>
      </c>
      <c r="D44">
        <v>0.13200000000000001</v>
      </c>
      <c r="E44">
        <v>1</v>
      </c>
      <c r="F44" t="s">
        <v>2952</v>
      </c>
      <c r="G44" t="s">
        <v>2953</v>
      </c>
      <c r="H44" t="s">
        <v>2952</v>
      </c>
      <c r="I44" t="str">
        <f>HYPERLINK("https://zfin.org/ZDB-GENE-150416-1")</f>
        <v>https://zfin.org/ZDB-GENE-150416-1</v>
      </c>
      <c r="J44" t="s">
        <v>2951</v>
      </c>
    </row>
    <row r="45" spans="1:10" x14ac:dyDescent="0.2">
      <c r="A45">
        <v>3.3373911502242198E-4</v>
      </c>
      <c r="B45">
        <v>-0.33036850234966197</v>
      </c>
      <c r="C45">
        <v>0.112</v>
      </c>
      <c r="D45">
        <v>0.24299999999999999</v>
      </c>
      <c r="E45">
        <v>1</v>
      </c>
      <c r="F45" t="s">
        <v>2949</v>
      </c>
      <c r="G45" t="s">
        <v>2950</v>
      </c>
      <c r="H45" t="s">
        <v>2949</v>
      </c>
      <c r="I45" t="str">
        <f>HYPERLINK("https://zfin.org/ZDB-GENE-071120-5")</f>
        <v>https://zfin.org/ZDB-GENE-071120-5</v>
      </c>
      <c r="J45" t="s">
        <v>2948</v>
      </c>
    </row>
    <row r="46" spans="1:10" x14ac:dyDescent="0.2">
      <c r="A46">
        <v>3.3573534193670398E-4</v>
      </c>
      <c r="B46">
        <v>-0.32167530325793497</v>
      </c>
      <c r="C46">
        <v>0.14499999999999999</v>
      </c>
      <c r="D46">
        <v>0.28199999999999997</v>
      </c>
      <c r="E46">
        <v>1</v>
      </c>
      <c r="F46" t="s">
        <v>2946</v>
      </c>
      <c r="G46" t="s">
        <v>2947</v>
      </c>
      <c r="H46" t="s">
        <v>2946</v>
      </c>
      <c r="I46" t="str">
        <f>HYPERLINK("https://zfin.org/ZDB-GENE-050417-241")</f>
        <v>https://zfin.org/ZDB-GENE-050417-241</v>
      </c>
      <c r="J46" t="s">
        <v>2945</v>
      </c>
    </row>
    <row r="47" spans="1:10" x14ac:dyDescent="0.2">
      <c r="A47">
        <v>4.05878673003201E-4</v>
      </c>
      <c r="B47">
        <v>-0.39195453459440399</v>
      </c>
      <c r="C47">
        <v>0.246</v>
      </c>
      <c r="D47">
        <v>0.378</v>
      </c>
      <c r="E47">
        <v>1</v>
      </c>
      <c r="F47" t="s">
        <v>1343</v>
      </c>
      <c r="G47" t="s">
        <v>1344</v>
      </c>
      <c r="H47" t="s">
        <v>1343</v>
      </c>
      <c r="I47" t="str">
        <f>HYPERLINK("https://zfin.org/ZDB-GENE-010202-3")</f>
        <v>https://zfin.org/ZDB-GENE-010202-3</v>
      </c>
      <c r="J47" t="s">
        <v>1342</v>
      </c>
    </row>
    <row r="48" spans="1:10" x14ac:dyDescent="0.2">
      <c r="A48">
        <v>4.5867046188678403E-4</v>
      </c>
      <c r="B48">
        <v>-0.403585247500239</v>
      </c>
      <c r="C48">
        <v>0.54200000000000004</v>
      </c>
      <c r="D48">
        <v>0.65200000000000002</v>
      </c>
      <c r="E48">
        <v>1</v>
      </c>
      <c r="F48" t="s">
        <v>1473</v>
      </c>
      <c r="G48" t="s">
        <v>1474</v>
      </c>
      <c r="H48" t="s">
        <v>1473</v>
      </c>
      <c r="I48" t="str">
        <f>HYPERLINK("https://zfin.org/ZDB-GENE-080917-47")</f>
        <v>https://zfin.org/ZDB-GENE-080917-47</v>
      </c>
      <c r="J48" t="s">
        <v>1472</v>
      </c>
    </row>
    <row r="49" spans="1:10" x14ac:dyDescent="0.2">
      <c r="A49">
        <v>5.1562608700542504E-4</v>
      </c>
      <c r="B49">
        <v>-0.295522571459645</v>
      </c>
      <c r="C49">
        <v>0.78200000000000003</v>
      </c>
      <c r="D49">
        <v>0.81699999999999995</v>
      </c>
      <c r="E49">
        <v>1</v>
      </c>
      <c r="F49" t="s">
        <v>927</v>
      </c>
      <c r="G49" t="s">
        <v>928</v>
      </c>
      <c r="H49" t="s">
        <v>927</v>
      </c>
      <c r="I49" t="str">
        <f>HYPERLINK("https://zfin.org/ZDB-GENE-040426-1706")</f>
        <v>https://zfin.org/ZDB-GENE-040426-1706</v>
      </c>
      <c r="J49" t="s">
        <v>926</v>
      </c>
    </row>
    <row r="50" spans="1:10" x14ac:dyDescent="0.2">
      <c r="A50">
        <v>5.5708821201823301E-4</v>
      </c>
      <c r="B50">
        <v>-0.37284565503723399</v>
      </c>
      <c r="C50">
        <v>0.45800000000000002</v>
      </c>
      <c r="D50">
        <v>0.57099999999999995</v>
      </c>
      <c r="E50">
        <v>1</v>
      </c>
      <c r="F50" t="s">
        <v>174</v>
      </c>
      <c r="G50" t="s">
        <v>175</v>
      </c>
      <c r="H50" t="s">
        <v>174</v>
      </c>
      <c r="I50" t="str">
        <f>HYPERLINK("https://zfin.org/ZDB-GENE-050308-1")</f>
        <v>https://zfin.org/ZDB-GENE-050308-1</v>
      </c>
      <c r="J50" t="s">
        <v>176</v>
      </c>
    </row>
    <row r="51" spans="1:10" x14ac:dyDescent="0.2">
      <c r="A51">
        <v>5.6416291616333801E-4</v>
      </c>
      <c r="B51">
        <v>-0.29932427050871502</v>
      </c>
      <c r="C51">
        <v>3.4000000000000002E-2</v>
      </c>
      <c r="D51">
        <v>0.126</v>
      </c>
      <c r="E51">
        <v>1</v>
      </c>
      <c r="F51" t="s">
        <v>2943</v>
      </c>
      <c r="G51" t="s">
        <v>2944</v>
      </c>
      <c r="H51" t="s">
        <v>2943</v>
      </c>
      <c r="I51" t="str">
        <f>HYPERLINK("https://zfin.org/ZDB-GENE-990714-11")</f>
        <v>https://zfin.org/ZDB-GENE-990714-11</v>
      </c>
      <c r="J51" t="s">
        <v>2942</v>
      </c>
    </row>
    <row r="52" spans="1:10" x14ac:dyDescent="0.2">
      <c r="A52">
        <v>5.6584510093847897E-4</v>
      </c>
      <c r="B52">
        <v>-0.40293629248827301</v>
      </c>
      <c r="C52">
        <v>0.151</v>
      </c>
      <c r="D52">
        <v>0.27600000000000002</v>
      </c>
      <c r="E52">
        <v>1</v>
      </c>
      <c r="F52" t="s">
        <v>1427</v>
      </c>
      <c r="G52" t="s">
        <v>1428</v>
      </c>
      <c r="H52" t="s">
        <v>1427</v>
      </c>
      <c r="I52" t="str">
        <f>HYPERLINK("https://zfin.org/ZDB-GENE-061103-355")</f>
        <v>https://zfin.org/ZDB-GENE-061103-355</v>
      </c>
      <c r="J52" t="s">
        <v>1426</v>
      </c>
    </row>
    <row r="53" spans="1:10" x14ac:dyDescent="0.2">
      <c r="A53">
        <v>5.7786771198432396E-4</v>
      </c>
      <c r="B53">
        <v>-0.28954099925890803</v>
      </c>
      <c r="C53">
        <v>0.63700000000000001</v>
      </c>
      <c r="D53">
        <v>0.69399999999999995</v>
      </c>
      <c r="E53">
        <v>1</v>
      </c>
      <c r="F53" t="s">
        <v>2458</v>
      </c>
      <c r="G53" t="s">
        <v>2459</v>
      </c>
      <c r="H53" t="s">
        <v>2458</v>
      </c>
      <c r="I53" t="str">
        <f>HYPERLINK("https://zfin.org/ZDB-GENE-040426-1852")</f>
        <v>https://zfin.org/ZDB-GENE-040426-1852</v>
      </c>
      <c r="J53" t="s">
        <v>2457</v>
      </c>
    </row>
    <row r="54" spans="1:10" x14ac:dyDescent="0.2">
      <c r="A54">
        <v>8.2206635712069596E-4</v>
      </c>
      <c r="B54">
        <v>-0.275125230174598</v>
      </c>
      <c r="C54">
        <v>0.05</v>
      </c>
      <c r="D54">
        <v>0.14399999999999999</v>
      </c>
      <c r="E54">
        <v>1</v>
      </c>
      <c r="F54" t="s">
        <v>2940</v>
      </c>
      <c r="G54" t="s">
        <v>2941</v>
      </c>
      <c r="H54" t="s">
        <v>2940</v>
      </c>
      <c r="I54" t="str">
        <f>HYPERLINK("https://zfin.org/ZDB-GENE-020916-2")</f>
        <v>https://zfin.org/ZDB-GENE-020916-2</v>
      </c>
      <c r="J54" t="s">
        <v>2939</v>
      </c>
    </row>
    <row r="55" spans="1:10" x14ac:dyDescent="0.2">
      <c r="A55">
        <v>1.2624342100462599E-3</v>
      </c>
      <c r="B55">
        <v>-0.37022147660857302</v>
      </c>
      <c r="C55">
        <v>0.17899999999999999</v>
      </c>
      <c r="D55">
        <v>0.3</v>
      </c>
      <c r="E55">
        <v>1</v>
      </c>
      <c r="F55" t="s">
        <v>2470</v>
      </c>
      <c r="G55" t="s">
        <v>2471</v>
      </c>
      <c r="H55" t="s">
        <v>2470</v>
      </c>
      <c r="I55" t="str">
        <f>HYPERLINK("https://zfin.org/ZDB-GENE-120215-186")</f>
        <v>https://zfin.org/ZDB-GENE-120215-186</v>
      </c>
      <c r="J55" t="s">
        <v>2469</v>
      </c>
    </row>
    <row r="56" spans="1:10" x14ac:dyDescent="0.2">
      <c r="A56">
        <v>1.48099783408244E-3</v>
      </c>
      <c r="B56">
        <v>-0.27203276579696201</v>
      </c>
      <c r="C56">
        <v>0.46400000000000002</v>
      </c>
      <c r="D56">
        <v>0.57699999999999996</v>
      </c>
      <c r="E56">
        <v>1</v>
      </c>
      <c r="F56" t="s">
        <v>252</v>
      </c>
      <c r="G56" t="s">
        <v>253</v>
      </c>
      <c r="H56" t="s">
        <v>252</v>
      </c>
      <c r="I56" t="str">
        <f>HYPERLINK("https://zfin.org/ZDB-GENE-110411-217")</f>
        <v>https://zfin.org/ZDB-GENE-110411-217</v>
      </c>
      <c r="J56" t="s">
        <v>254</v>
      </c>
    </row>
    <row r="57" spans="1:10" x14ac:dyDescent="0.2">
      <c r="A57">
        <v>1.61084065772799E-3</v>
      </c>
      <c r="B57">
        <v>-0.336847916343673</v>
      </c>
      <c r="C57">
        <v>0.14000000000000001</v>
      </c>
      <c r="D57">
        <v>0.246</v>
      </c>
      <c r="E57">
        <v>1</v>
      </c>
      <c r="F57" t="s">
        <v>1566</v>
      </c>
      <c r="G57" t="s">
        <v>1567</v>
      </c>
      <c r="H57" t="s">
        <v>1566</v>
      </c>
      <c r="I57" t="str">
        <f>HYPERLINK("https://zfin.org/ZDB-GENE-010412-1")</f>
        <v>https://zfin.org/ZDB-GENE-010412-1</v>
      </c>
      <c r="J57" t="s">
        <v>1565</v>
      </c>
    </row>
    <row r="58" spans="1:10" x14ac:dyDescent="0.2">
      <c r="A58">
        <v>2.0354219339240201E-3</v>
      </c>
      <c r="B58">
        <v>-0.323753683088566</v>
      </c>
      <c r="C58">
        <v>0.14000000000000001</v>
      </c>
      <c r="D58">
        <v>0.252</v>
      </c>
      <c r="E58">
        <v>1</v>
      </c>
      <c r="F58" t="s">
        <v>1196</v>
      </c>
      <c r="G58" t="s">
        <v>1197</v>
      </c>
      <c r="H58" t="s">
        <v>1196</v>
      </c>
      <c r="I58" t="str">
        <f>HYPERLINK("https://zfin.org/ZDB-GENE-061103-283")</f>
        <v>https://zfin.org/ZDB-GENE-061103-283</v>
      </c>
      <c r="J58" t="s">
        <v>1195</v>
      </c>
    </row>
    <row r="59" spans="1:10" x14ac:dyDescent="0.2">
      <c r="A59">
        <v>2.3769263066054898E-3</v>
      </c>
      <c r="B59">
        <v>-0.29125433512495402</v>
      </c>
      <c r="C59">
        <v>0.28499999999999998</v>
      </c>
      <c r="D59">
        <v>0.40799999999999997</v>
      </c>
      <c r="E59">
        <v>1</v>
      </c>
      <c r="F59" t="s">
        <v>2937</v>
      </c>
      <c r="G59" t="s">
        <v>2938</v>
      </c>
      <c r="H59" t="s">
        <v>2937</v>
      </c>
      <c r="I59" t="str">
        <f>HYPERLINK("https://zfin.org/ZDB-GENE-070216-2")</f>
        <v>https://zfin.org/ZDB-GENE-070216-2</v>
      </c>
      <c r="J59" t="s">
        <v>2936</v>
      </c>
    </row>
    <row r="60" spans="1:10" x14ac:dyDescent="0.2">
      <c r="A60">
        <v>2.77290007616897E-3</v>
      </c>
      <c r="B60">
        <v>-0.37493434173553802</v>
      </c>
      <c r="C60">
        <v>8.8999999999999996E-2</v>
      </c>
      <c r="D60">
        <v>0.183</v>
      </c>
      <c r="E60">
        <v>1</v>
      </c>
      <c r="F60" t="s">
        <v>2934</v>
      </c>
      <c r="G60" t="s">
        <v>2935</v>
      </c>
      <c r="H60" t="s">
        <v>2934</v>
      </c>
      <c r="I60" t="str">
        <f>HYPERLINK("https://zfin.org/ZDB-GENE-070705-367")</f>
        <v>https://zfin.org/ZDB-GENE-070705-367</v>
      </c>
      <c r="J60" t="s">
        <v>2933</v>
      </c>
    </row>
    <row r="61" spans="1:10" x14ac:dyDescent="0.2">
      <c r="A61">
        <v>3.1691666273008399E-3</v>
      </c>
      <c r="B61">
        <v>-0.31019029837089401</v>
      </c>
      <c r="C61">
        <v>0.39700000000000002</v>
      </c>
      <c r="D61">
        <v>0.48899999999999999</v>
      </c>
      <c r="E61">
        <v>1</v>
      </c>
      <c r="F61" t="s">
        <v>2931</v>
      </c>
      <c r="G61" t="s">
        <v>2932</v>
      </c>
      <c r="H61" t="s">
        <v>2931</v>
      </c>
      <c r="I61" t="str">
        <f>HYPERLINK("https://zfin.org/ZDB-GENE-041014-252")</f>
        <v>https://zfin.org/ZDB-GENE-041014-252</v>
      </c>
      <c r="J61" t="s">
        <v>2930</v>
      </c>
    </row>
    <row r="62" spans="1:10" x14ac:dyDescent="0.2">
      <c r="A62">
        <v>3.4156698248379602E-3</v>
      </c>
      <c r="B62">
        <v>-0.29049684446183699</v>
      </c>
      <c r="C62">
        <v>0.55900000000000005</v>
      </c>
      <c r="D62">
        <v>0.61299999999999999</v>
      </c>
      <c r="E62">
        <v>1</v>
      </c>
      <c r="F62" t="s">
        <v>2928</v>
      </c>
      <c r="G62" t="s">
        <v>2929</v>
      </c>
      <c r="H62" t="s">
        <v>2928</v>
      </c>
      <c r="I62" t="str">
        <f>HYPERLINK("https://zfin.org/ZDB-GENE-030131-9784")</f>
        <v>https://zfin.org/ZDB-GENE-030131-9784</v>
      </c>
      <c r="J62" t="s">
        <v>2927</v>
      </c>
    </row>
    <row r="63" spans="1:10" x14ac:dyDescent="0.2">
      <c r="A63">
        <v>3.78168914495884E-3</v>
      </c>
      <c r="B63">
        <v>-0.38308577806814298</v>
      </c>
      <c r="C63">
        <v>0.20699999999999999</v>
      </c>
      <c r="D63">
        <v>0.315</v>
      </c>
      <c r="E63">
        <v>1</v>
      </c>
      <c r="F63" t="s">
        <v>1746</v>
      </c>
      <c r="G63" t="s">
        <v>1747</v>
      </c>
      <c r="H63" t="s">
        <v>1746</v>
      </c>
      <c r="I63" t="str">
        <f>HYPERLINK("https://zfin.org/ZDB-GENE-040912-55")</f>
        <v>https://zfin.org/ZDB-GENE-040912-55</v>
      </c>
      <c r="J63" t="s">
        <v>1745</v>
      </c>
    </row>
    <row r="64" spans="1:10" x14ac:dyDescent="0.2">
      <c r="A64">
        <v>4.0070760294840801E-3</v>
      </c>
      <c r="B64">
        <v>-0.271584575354333</v>
      </c>
      <c r="C64">
        <v>0.41299999999999998</v>
      </c>
      <c r="D64">
        <v>0.55300000000000005</v>
      </c>
      <c r="E64">
        <v>1</v>
      </c>
      <c r="F64" t="s">
        <v>2925</v>
      </c>
      <c r="G64" t="s">
        <v>2926</v>
      </c>
      <c r="H64" t="s">
        <v>2925</v>
      </c>
      <c r="I64" t="str">
        <f>HYPERLINK("https://zfin.org/ZDB-GENE-040901-1")</f>
        <v>https://zfin.org/ZDB-GENE-040901-1</v>
      </c>
      <c r="J64" t="s">
        <v>2924</v>
      </c>
    </row>
    <row r="65" spans="1:10" x14ac:dyDescent="0.2">
      <c r="A65">
        <v>5.3612296574341699E-3</v>
      </c>
      <c r="B65">
        <v>-0.353905450449717</v>
      </c>
      <c r="C65">
        <v>0.16200000000000001</v>
      </c>
      <c r="D65">
        <v>0.249</v>
      </c>
      <c r="E65">
        <v>1</v>
      </c>
      <c r="F65" t="s">
        <v>2922</v>
      </c>
      <c r="G65" t="s">
        <v>2923</v>
      </c>
      <c r="H65" t="s">
        <v>2922</v>
      </c>
      <c r="I65" t="str">
        <f>HYPERLINK("https://zfin.org/ZDB-GENE-040801-69")</f>
        <v>https://zfin.org/ZDB-GENE-040801-69</v>
      </c>
      <c r="J65" t="s">
        <v>2921</v>
      </c>
    </row>
    <row r="66" spans="1:10" x14ac:dyDescent="0.2">
      <c r="A66">
        <v>5.80596695119962E-3</v>
      </c>
      <c r="B66">
        <v>-0.26453485017136502</v>
      </c>
      <c r="C66">
        <v>0.45300000000000001</v>
      </c>
      <c r="D66">
        <v>0.54700000000000004</v>
      </c>
      <c r="E66">
        <v>1</v>
      </c>
      <c r="F66" t="s">
        <v>2919</v>
      </c>
      <c r="G66" t="s">
        <v>2920</v>
      </c>
      <c r="H66" t="s">
        <v>2919</v>
      </c>
      <c r="I66" t="str">
        <f>HYPERLINK("https://zfin.org/ZDB-GENE-041121-11")</f>
        <v>https://zfin.org/ZDB-GENE-041121-11</v>
      </c>
      <c r="J66" t="s">
        <v>2918</v>
      </c>
    </row>
    <row r="67" spans="1:10" x14ac:dyDescent="0.2">
      <c r="A67">
        <v>6.3178579773325496E-3</v>
      </c>
      <c r="B67">
        <v>-0.28424225699925998</v>
      </c>
      <c r="C67">
        <v>0.20100000000000001</v>
      </c>
      <c r="D67">
        <v>0.309</v>
      </c>
      <c r="E67">
        <v>1</v>
      </c>
      <c r="F67" t="s">
        <v>2491</v>
      </c>
      <c r="G67" t="s">
        <v>2492</v>
      </c>
      <c r="H67" t="s">
        <v>2491</v>
      </c>
      <c r="I67" t="str">
        <f>HYPERLINK("https://zfin.org/ZDB-GENE-000511-2")</f>
        <v>https://zfin.org/ZDB-GENE-000511-2</v>
      </c>
      <c r="J67" t="s">
        <v>2490</v>
      </c>
    </row>
    <row r="68" spans="1:10" x14ac:dyDescent="0.2">
      <c r="A68">
        <v>7.8384860546842298E-3</v>
      </c>
      <c r="B68">
        <v>-0.26541342167045501</v>
      </c>
      <c r="C68">
        <v>6.7000000000000004E-2</v>
      </c>
      <c r="D68">
        <v>0.14699999999999999</v>
      </c>
      <c r="E68">
        <v>1</v>
      </c>
      <c r="F68" t="s">
        <v>1850</v>
      </c>
      <c r="G68" t="s">
        <v>1851</v>
      </c>
      <c r="H68" t="s">
        <v>1850</v>
      </c>
      <c r="I68" t="str">
        <f>HYPERLINK("https://zfin.org/ZDB-GENE-990415-67")</f>
        <v>https://zfin.org/ZDB-GENE-990415-67</v>
      </c>
      <c r="J68" t="s">
        <v>1849</v>
      </c>
    </row>
    <row r="69" spans="1:10" x14ac:dyDescent="0.2">
      <c r="A69">
        <v>1.28600435800236E-2</v>
      </c>
      <c r="B69">
        <v>-0.35160213128086998</v>
      </c>
      <c r="C69">
        <v>0.26800000000000002</v>
      </c>
      <c r="D69">
        <v>0.34799999999999998</v>
      </c>
      <c r="E69">
        <v>1</v>
      </c>
      <c r="F69" t="s">
        <v>1385</v>
      </c>
      <c r="G69" t="s">
        <v>1386</v>
      </c>
      <c r="H69" t="s">
        <v>1385</v>
      </c>
      <c r="I69" t="str">
        <f>HYPERLINK("https://zfin.org/ZDB-GENE-040426-1370")</f>
        <v>https://zfin.org/ZDB-GENE-040426-1370</v>
      </c>
      <c r="J69" t="s">
        <v>1384</v>
      </c>
    </row>
    <row r="70" spans="1:10" x14ac:dyDescent="0.2">
      <c r="A70">
        <v>1.4484795783474501E-2</v>
      </c>
      <c r="B70">
        <v>-0.41049984188938798</v>
      </c>
      <c r="C70">
        <v>7.2999999999999995E-2</v>
      </c>
      <c r="D70">
        <v>0.14099999999999999</v>
      </c>
      <c r="E70">
        <v>1</v>
      </c>
      <c r="F70" t="s">
        <v>2770</v>
      </c>
      <c r="G70" t="s">
        <v>2771</v>
      </c>
      <c r="H70" t="s">
        <v>2770</v>
      </c>
      <c r="I70" t="str">
        <f>HYPERLINK("https://zfin.org/ZDB-GENE-980526-521")</f>
        <v>https://zfin.org/ZDB-GENE-980526-521</v>
      </c>
      <c r="J70" t="s">
        <v>2769</v>
      </c>
    </row>
    <row r="71" spans="1:10" x14ac:dyDescent="0.2">
      <c r="A71">
        <v>1.6112437906592701E-2</v>
      </c>
      <c r="B71">
        <v>-0.27534197398043497</v>
      </c>
      <c r="C71">
        <v>0.58699999999999997</v>
      </c>
      <c r="D71">
        <v>0.65800000000000003</v>
      </c>
      <c r="E71">
        <v>1</v>
      </c>
      <c r="F71" t="s">
        <v>2916</v>
      </c>
      <c r="G71" t="s">
        <v>2917</v>
      </c>
      <c r="H71" t="s">
        <v>2916</v>
      </c>
      <c r="I71" t="str">
        <f>HYPERLINK("https://zfin.org/ZDB-GENE-030131-2830")</f>
        <v>https://zfin.org/ZDB-GENE-030131-2830</v>
      </c>
      <c r="J71" t="s">
        <v>2915</v>
      </c>
    </row>
    <row r="72" spans="1:10" x14ac:dyDescent="0.2">
      <c r="A72">
        <v>1.92240597260072E-2</v>
      </c>
      <c r="B72">
        <v>-0.26726642351123597</v>
      </c>
      <c r="C72">
        <v>0.13400000000000001</v>
      </c>
      <c r="D72">
        <v>0.21299999999999999</v>
      </c>
      <c r="E72">
        <v>1</v>
      </c>
      <c r="F72" t="s">
        <v>2913</v>
      </c>
      <c r="G72" t="s">
        <v>2914</v>
      </c>
      <c r="H72" t="s">
        <v>2913</v>
      </c>
      <c r="I72" t="str">
        <f>HYPERLINK("https://zfin.org/ZDB-GENE-061013-318")</f>
        <v>https://zfin.org/ZDB-GENE-061013-318</v>
      </c>
      <c r="J72" t="s">
        <v>2912</v>
      </c>
    </row>
    <row r="73" spans="1:10" x14ac:dyDescent="0.2">
      <c r="A73">
        <v>2.4065647780883302E-2</v>
      </c>
      <c r="B73">
        <v>-0.26598546009142798</v>
      </c>
      <c r="C73">
        <v>0.54200000000000004</v>
      </c>
      <c r="D73">
        <v>0.60099999999999998</v>
      </c>
      <c r="E73">
        <v>1</v>
      </c>
      <c r="F73" t="s">
        <v>2910</v>
      </c>
      <c r="G73" t="s">
        <v>2911</v>
      </c>
      <c r="H73" t="s">
        <v>2910</v>
      </c>
      <c r="I73" t="str">
        <f>HYPERLINK("https://zfin.org/ZDB-GENE-030131-8760")</f>
        <v>https://zfin.org/ZDB-GENE-030131-8760</v>
      </c>
      <c r="J73" t="s">
        <v>2909</v>
      </c>
    </row>
    <row r="74" spans="1:10" x14ac:dyDescent="0.2">
      <c r="A74">
        <v>2.58296015300458E-2</v>
      </c>
      <c r="B74">
        <v>-0.29329151170722201</v>
      </c>
      <c r="C74">
        <v>0.14000000000000001</v>
      </c>
      <c r="D74">
        <v>0.21299999999999999</v>
      </c>
      <c r="E74">
        <v>1</v>
      </c>
      <c r="F74" t="s">
        <v>2907</v>
      </c>
      <c r="G74" t="s">
        <v>2908</v>
      </c>
      <c r="H74" t="s">
        <v>2907</v>
      </c>
      <c r="I74" t="str">
        <f>HYPERLINK("https://zfin.org/ZDB-GENE-050417-214")</f>
        <v>https://zfin.org/ZDB-GENE-050417-214</v>
      </c>
      <c r="J74" t="s">
        <v>2906</v>
      </c>
    </row>
    <row r="75" spans="1:10" x14ac:dyDescent="0.2">
      <c r="A75">
        <v>2.69452482206619E-2</v>
      </c>
      <c r="B75">
        <v>-0.33367443189572299</v>
      </c>
      <c r="C75">
        <v>0.251</v>
      </c>
      <c r="D75">
        <v>0.32700000000000001</v>
      </c>
      <c r="E75">
        <v>1</v>
      </c>
      <c r="F75" t="s">
        <v>1331</v>
      </c>
      <c r="G75" t="s">
        <v>1332</v>
      </c>
      <c r="H75" t="s">
        <v>1331</v>
      </c>
      <c r="I75" t="str">
        <f>HYPERLINK("https://zfin.org/ZDB-GENE-991111-3")</f>
        <v>https://zfin.org/ZDB-GENE-991111-3</v>
      </c>
      <c r="J75" t="s">
        <v>1330</v>
      </c>
    </row>
    <row r="76" spans="1:10" x14ac:dyDescent="0.2">
      <c r="A76">
        <v>2.7471488445146099E-2</v>
      </c>
      <c r="B76">
        <v>-0.27151526096430201</v>
      </c>
      <c r="C76">
        <v>0.19600000000000001</v>
      </c>
      <c r="D76">
        <v>0.26700000000000002</v>
      </c>
      <c r="E76">
        <v>1</v>
      </c>
      <c r="F76" t="s">
        <v>2904</v>
      </c>
      <c r="G76" t="s">
        <v>2905</v>
      </c>
      <c r="H76" t="s">
        <v>2904</v>
      </c>
      <c r="I76" t="str">
        <f>HYPERLINK("https://zfin.org/ZDB-GENE-040625-175")</f>
        <v>https://zfin.org/ZDB-GENE-040625-175</v>
      </c>
      <c r="J76" t="s">
        <v>2903</v>
      </c>
    </row>
    <row r="77" spans="1:10" x14ac:dyDescent="0.2">
      <c r="A77">
        <v>3.0702423362534901E-2</v>
      </c>
      <c r="B77">
        <v>-0.30984049753933102</v>
      </c>
      <c r="C77">
        <v>0.251</v>
      </c>
      <c r="D77">
        <v>0.33</v>
      </c>
      <c r="E77">
        <v>1</v>
      </c>
      <c r="F77" t="s">
        <v>1328</v>
      </c>
      <c r="G77" t="s">
        <v>1329</v>
      </c>
      <c r="H77" t="s">
        <v>1328</v>
      </c>
      <c r="I77" t="str">
        <f>HYPERLINK("https://zfin.org/ZDB-GENE-070424-30")</f>
        <v>https://zfin.org/ZDB-GENE-070424-30</v>
      </c>
      <c r="J77" t="s">
        <v>1327</v>
      </c>
    </row>
    <row r="78" spans="1:10" x14ac:dyDescent="0.2">
      <c r="A78">
        <v>3.5180702721189797E-2</v>
      </c>
      <c r="B78">
        <v>-0.25571351929519798</v>
      </c>
      <c r="C78">
        <v>7.2999999999999995E-2</v>
      </c>
      <c r="D78">
        <v>0.13200000000000001</v>
      </c>
      <c r="E78">
        <v>1</v>
      </c>
      <c r="F78" t="s">
        <v>2901</v>
      </c>
      <c r="G78" t="s">
        <v>2902</v>
      </c>
      <c r="H78" t="s">
        <v>2901</v>
      </c>
      <c r="I78" t="str">
        <f>HYPERLINK("https://zfin.org/ZDB-GENE-131125-46")</f>
        <v>https://zfin.org/ZDB-GENE-131125-46</v>
      </c>
      <c r="J78" t="s">
        <v>2900</v>
      </c>
    </row>
    <row r="79" spans="1:10" x14ac:dyDescent="0.2">
      <c r="A79">
        <v>3.6249558779535E-2</v>
      </c>
      <c r="B79">
        <v>-0.32800060470960601</v>
      </c>
      <c r="C79">
        <v>0.54700000000000004</v>
      </c>
      <c r="D79">
        <v>0.60099999999999998</v>
      </c>
      <c r="E79">
        <v>1</v>
      </c>
      <c r="F79" t="s">
        <v>1869</v>
      </c>
      <c r="G79" t="s">
        <v>1870</v>
      </c>
      <c r="H79" t="s">
        <v>1869</v>
      </c>
      <c r="I79" t="str">
        <f>HYPERLINK("https://zfin.org/ZDB-GENE-061103-301")</f>
        <v>https://zfin.org/ZDB-GENE-061103-301</v>
      </c>
      <c r="J79" t="s">
        <v>1868</v>
      </c>
    </row>
    <row r="80" spans="1:10" x14ac:dyDescent="0.2">
      <c r="A80">
        <v>4.1074620369748502E-2</v>
      </c>
      <c r="B80">
        <v>-0.27369544013367603</v>
      </c>
      <c r="C80">
        <v>0.39700000000000002</v>
      </c>
      <c r="D80">
        <v>0.44400000000000001</v>
      </c>
      <c r="E80">
        <v>1</v>
      </c>
      <c r="F80" t="s">
        <v>851</v>
      </c>
      <c r="G80" t="s">
        <v>852</v>
      </c>
      <c r="H80" t="s">
        <v>851</v>
      </c>
      <c r="I80" t="str">
        <f>HYPERLINK("https://zfin.org/ZDB-GENE-060804-3")</f>
        <v>https://zfin.org/ZDB-GENE-060804-3</v>
      </c>
      <c r="J80" t="s">
        <v>850</v>
      </c>
    </row>
    <row r="81" spans="1:10" x14ac:dyDescent="0.2">
      <c r="A81">
        <v>4.2584315356352001E-2</v>
      </c>
      <c r="B81">
        <v>-0.27280582105171303</v>
      </c>
      <c r="C81">
        <v>0.13400000000000001</v>
      </c>
      <c r="D81">
        <v>0.20100000000000001</v>
      </c>
      <c r="E81">
        <v>1</v>
      </c>
      <c r="F81" t="s">
        <v>2898</v>
      </c>
      <c r="G81" t="s">
        <v>2899</v>
      </c>
      <c r="H81" t="s">
        <v>2898</v>
      </c>
      <c r="I81" t="str">
        <f>HYPERLINK("https://zfin.org/ZDB-GENE-030131-9944")</f>
        <v>https://zfin.org/ZDB-GENE-030131-9944</v>
      </c>
      <c r="J81" t="s">
        <v>2897</v>
      </c>
    </row>
    <row r="82" spans="1:10" x14ac:dyDescent="0.2">
      <c r="A82">
        <v>4.9520387400222E-2</v>
      </c>
      <c r="B82">
        <v>-0.263239940757722</v>
      </c>
      <c r="C82">
        <v>0.28499999999999998</v>
      </c>
      <c r="D82">
        <v>0.34799999999999998</v>
      </c>
      <c r="E82">
        <v>1</v>
      </c>
      <c r="F82" t="s">
        <v>760</v>
      </c>
      <c r="G82" t="s">
        <v>761</v>
      </c>
      <c r="H82" t="s">
        <v>760</v>
      </c>
      <c r="I82" t="str">
        <f>HYPERLINK("https://zfin.org/ZDB-GENE-121005-1")</f>
        <v>https://zfin.org/ZDB-GENE-121005-1</v>
      </c>
      <c r="J82" t="s">
        <v>759</v>
      </c>
    </row>
    <row r="83" spans="1:10" x14ac:dyDescent="0.2">
      <c r="A83">
        <v>5.5371771696413101E-2</v>
      </c>
      <c r="B83">
        <v>-0.28255294295408501</v>
      </c>
      <c r="C83">
        <v>0.112</v>
      </c>
      <c r="D83">
        <v>0.16800000000000001</v>
      </c>
      <c r="E83">
        <v>1</v>
      </c>
      <c r="F83" t="s">
        <v>2895</v>
      </c>
      <c r="G83" t="s">
        <v>2896</v>
      </c>
      <c r="H83" t="s">
        <v>2895</v>
      </c>
      <c r="I83" t="str">
        <f>HYPERLINK("https://zfin.org/ZDB-GENE-040625-55")</f>
        <v>https://zfin.org/ZDB-GENE-040625-55</v>
      </c>
      <c r="J83" t="s">
        <v>2894</v>
      </c>
    </row>
    <row r="84" spans="1:10" x14ac:dyDescent="0.2">
      <c r="A84">
        <v>6.3355170786403195E-2</v>
      </c>
      <c r="B84">
        <v>-0.27419658356377502</v>
      </c>
      <c r="C84">
        <v>0.86</v>
      </c>
      <c r="D84">
        <v>0.84699999999999998</v>
      </c>
      <c r="E84">
        <v>1</v>
      </c>
      <c r="F84" t="s">
        <v>130</v>
      </c>
      <c r="G84" t="s">
        <v>131</v>
      </c>
      <c r="H84" t="s">
        <v>130</v>
      </c>
      <c r="I84" t="str">
        <f>HYPERLINK("https://zfin.org/ZDB-GENE-030131-8599")</f>
        <v>https://zfin.org/ZDB-GENE-030131-8599</v>
      </c>
      <c r="J84" t="s">
        <v>132</v>
      </c>
    </row>
    <row r="85" spans="1:10" x14ac:dyDescent="0.2">
      <c r="A85">
        <v>6.3603308497689207E-2</v>
      </c>
      <c r="B85">
        <v>-0.26203107289886701</v>
      </c>
      <c r="C85">
        <v>0.20699999999999999</v>
      </c>
      <c r="D85">
        <v>0.26700000000000002</v>
      </c>
      <c r="E85">
        <v>1</v>
      </c>
      <c r="F85" t="s">
        <v>2892</v>
      </c>
      <c r="G85" t="s">
        <v>2893</v>
      </c>
      <c r="H85" t="s">
        <v>2892</v>
      </c>
      <c r="I85" t="str">
        <f>HYPERLINK("https://zfin.org/ZDB-GENE-030131-1827")</f>
        <v>https://zfin.org/ZDB-GENE-030131-1827</v>
      </c>
      <c r="J85" t="s">
        <v>2891</v>
      </c>
    </row>
    <row r="86" spans="1:10" x14ac:dyDescent="0.2">
      <c r="A86">
        <v>7.6491159676102302E-2</v>
      </c>
      <c r="B86">
        <v>-0.29541170293854502</v>
      </c>
      <c r="C86">
        <v>0.55900000000000005</v>
      </c>
      <c r="D86">
        <v>0.58899999999999997</v>
      </c>
      <c r="E86">
        <v>1</v>
      </c>
      <c r="F86" t="s">
        <v>1815</v>
      </c>
      <c r="G86" t="s">
        <v>1816</v>
      </c>
      <c r="H86" t="s">
        <v>1815</v>
      </c>
      <c r="I86" t="str">
        <f>HYPERLINK("https://zfin.org/ZDB-GENE-081022-158")</f>
        <v>https://zfin.org/ZDB-GENE-081022-158</v>
      </c>
      <c r="J86" t="s">
        <v>1814</v>
      </c>
    </row>
    <row r="87" spans="1:10" x14ac:dyDescent="0.2">
      <c r="A87">
        <v>0.18570029296782301</v>
      </c>
      <c r="B87">
        <v>-0.33736512723769302</v>
      </c>
      <c r="C87">
        <v>0.14000000000000001</v>
      </c>
      <c r="D87">
        <v>0.18</v>
      </c>
      <c r="E87">
        <v>1</v>
      </c>
      <c r="F87" t="s">
        <v>1936</v>
      </c>
      <c r="G87" t="s">
        <v>1937</v>
      </c>
      <c r="H87" t="s">
        <v>1936</v>
      </c>
      <c r="I87" t="str">
        <f>HYPERLINK("https://zfin.org/ZDB-GENE-041010-89")</f>
        <v>https://zfin.org/ZDB-GENE-041010-89</v>
      </c>
      <c r="J87" t="s">
        <v>1935</v>
      </c>
    </row>
    <row r="88" spans="1:10" x14ac:dyDescent="0.2">
      <c r="A88">
        <v>0.197608111537831</v>
      </c>
      <c r="B88">
        <v>-0.38743822884662199</v>
      </c>
      <c r="C88">
        <v>0.42499999999999999</v>
      </c>
      <c r="D88">
        <v>0.45900000000000002</v>
      </c>
      <c r="E88">
        <v>1</v>
      </c>
      <c r="F88" t="s">
        <v>1238</v>
      </c>
      <c r="G88" t="s">
        <v>1239</v>
      </c>
      <c r="H88" t="s">
        <v>1238</v>
      </c>
      <c r="I88" t="str">
        <f>HYPERLINK("https://zfin.org/ZDB-GENE-031118-45")</f>
        <v>https://zfin.org/ZDB-GENE-031118-45</v>
      </c>
      <c r="J88" t="s">
        <v>1237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CEFB4-D0D9-804D-8E8A-2C968D1596E9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7.1640625" customWidth="1"/>
    <col min="9" max="9" width="42.5" customWidth="1"/>
    <col min="10" max="10" width="129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1.45224672493093E-49</v>
      </c>
      <c r="B2">
        <v>1.4828767426145799</v>
      </c>
      <c r="C2">
        <v>0.94399999999999995</v>
      </c>
      <c r="D2">
        <v>0.34799999999999998</v>
      </c>
      <c r="E2">
        <v>2.2485136042105599E-45</v>
      </c>
      <c r="F2" t="s">
        <v>1397</v>
      </c>
      <c r="G2" t="s">
        <v>1398</v>
      </c>
      <c r="H2" t="s">
        <v>1397</v>
      </c>
      <c r="I2" t="str">
        <f>HYPERLINK("https://zfin.org/ZDB-GENE-110411-258")</f>
        <v>https://zfin.org/ZDB-GENE-110411-258</v>
      </c>
      <c r="J2" t="s">
        <v>1396</v>
      </c>
    </row>
    <row r="3" spans="1:10" x14ac:dyDescent="0.2">
      <c r="A3">
        <v>1.44438845294E-35</v>
      </c>
      <c r="B3">
        <v>1.0331144417514999</v>
      </c>
      <c r="C3">
        <v>0.97499999999999998</v>
      </c>
      <c r="D3">
        <v>0.73399999999999999</v>
      </c>
      <c r="E3">
        <v>2.2363466416870099E-31</v>
      </c>
      <c r="F3" t="s">
        <v>103</v>
      </c>
      <c r="G3" t="s">
        <v>104</v>
      </c>
      <c r="H3" t="s">
        <v>103</v>
      </c>
      <c r="I3" t="str">
        <f>HYPERLINK("https://zfin.org/ZDB-GENE-041121-18")</f>
        <v>https://zfin.org/ZDB-GENE-041121-18</v>
      </c>
      <c r="J3" t="s">
        <v>105</v>
      </c>
    </row>
    <row r="4" spans="1:10" x14ac:dyDescent="0.2">
      <c r="A4">
        <v>1.2277707094267601E-31</v>
      </c>
      <c r="B4">
        <v>0.83093650604341096</v>
      </c>
      <c r="C4">
        <v>0.99399999999999999</v>
      </c>
      <c r="D4">
        <v>0.91500000000000004</v>
      </c>
      <c r="E4">
        <v>1.9009573894054499E-27</v>
      </c>
      <c r="F4" t="s">
        <v>219</v>
      </c>
      <c r="G4" t="s">
        <v>220</v>
      </c>
      <c r="H4" t="s">
        <v>219</v>
      </c>
      <c r="I4" t="str">
        <f>HYPERLINK("https://zfin.org/ZDB-GENE-121214-200")</f>
        <v>https://zfin.org/ZDB-GENE-121214-200</v>
      </c>
      <c r="J4" t="s">
        <v>221</v>
      </c>
    </row>
    <row r="5" spans="1:10" x14ac:dyDescent="0.2">
      <c r="A5">
        <v>1.2363230402573399E-27</v>
      </c>
      <c r="B5">
        <v>0.99047634131677897</v>
      </c>
      <c r="C5">
        <v>0.86299999999999999</v>
      </c>
      <c r="D5">
        <v>0.53600000000000003</v>
      </c>
      <c r="E5">
        <v>1.9141989632304401E-23</v>
      </c>
      <c r="F5" t="s">
        <v>264</v>
      </c>
      <c r="G5" t="s">
        <v>265</v>
      </c>
      <c r="H5" t="s">
        <v>264</v>
      </c>
      <c r="I5" t="str">
        <f>HYPERLINK("https://zfin.org/ZDB-GENE-050320-109")</f>
        <v>https://zfin.org/ZDB-GENE-050320-109</v>
      </c>
      <c r="J5" t="s">
        <v>266</v>
      </c>
    </row>
    <row r="6" spans="1:10" x14ac:dyDescent="0.2">
      <c r="A6">
        <v>1.6906921971886399E-26</v>
      </c>
      <c r="B6">
        <v>1.03305919126636</v>
      </c>
      <c r="C6">
        <v>0.80100000000000005</v>
      </c>
      <c r="D6">
        <v>0.38200000000000001</v>
      </c>
      <c r="E6">
        <v>2.61769872890717E-22</v>
      </c>
      <c r="F6" t="s">
        <v>1427</v>
      </c>
      <c r="G6" t="s">
        <v>1428</v>
      </c>
      <c r="H6" t="s">
        <v>1427</v>
      </c>
      <c r="I6" t="str">
        <f>HYPERLINK("https://zfin.org/ZDB-GENE-061103-355")</f>
        <v>https://zfin.org/ZDB-GENE-061103-355</v>
      </c>
      <c r="J6" t="s">
        <v>1426</v>
      </c>
    </row>
    <row r="7" spans="1:10" x14ac:dyDescent="0.2">
      <c r="A7">
        <v>2.0597781353708701E-26</v>
      </c>
      <c r="B7">
        <v>0.93777113368172005</v>
      </c>
      <c r="C7">
        <v>0.93200000000000005</v>
      </c>
      <c r="D7">
        <v>0.63</v>
      </c>
      <c r="E7">
        <v>3.1891544869947199E-22</v>
      </c>
      <c r="F7" t="s">
        <v>153</v>
      </c>
      <c r="G7" t="s">
        <v>154</v>
      </c>
      <c r="H7" t="s">
        <v>153</v>
      </c>
      <c r="I7" t="str">
        <f>HYPERLINK("https://zfin.org/ZDB-GENE-990715-6")</f>
        <v>https://zfin.org/ZDB-GENE-990715-6</v>
      </c>
      <c r="J7" t="s">
        <v>155</v>
      </c>
    </row>
    <row r="8" spans="1:10" x14ac:dyDescent="0.2">
      <c r="A8">
        <v>7.3769671496176905E-24</v>
      </c>
      <c r="B8">
        <v>0.82075741433654803</v>
      </c>
      <c r="C8">
        <v>0.88200000000000001</v>
      </c>
      <c r="D8">
        <v>0.498</v>
      </c>
      <c r="E8">
        <v>1.14217582377531E-19</v>
      </c>
      <c r="F8" t="s">
        <v>3048</v>
      </c>
      <c r="G8" t="s">
        <v>3049</v>
      </c>
      <c r="H8" t="s">
        <v>3048</v>
      </c>
      <c r="I8" t="str">
        <f>HYPERLINK("https://zfin.org/ZDB-GENE-030521-13")</f>
        <v>https://zfin.org/ZDB-GENE-030521-13</v>
      </c>
      <c r="J8" t="s">
        <v>3047</v>
      </c>
    </row>
    <row r="9" spans="1:10" x14ac:dyDescent="0.2">
      <c r="A9">
        <v>5.6490367987896403E-23</v>
      </c>
      <c r="B9">
        <v>1.49776350257919</v>
      </c>
      <c r="C9">
        <v>0.70799999999999996</v>
      </c>
      <c r="D9">
        <v>0.313</v>
      </c>
      <c r="E9">
        <v>8.7464036755659997E-19</v>
      </c>
      <c r="F9" t="s">
        <v>1629</v>
      </c>
      <c r="G9" t="s">
        <v>1630</v>
      </c>
      <c r="H9" t="s">
        <v>1629</v>
      </c>
      <c r="I9" t="str">
        <f>HYPERLINK("https://zfin.org/ZDB-GENE-070424-74")</f>
        <v>https://zfin.org/ZDB-GENE-070424-74</v>
      </c>
      <c r="J9" t="s">
        <v>1628</v>
      </c>
    </row>
    <row r="10" spans="1:10" x14ac:dyDescent="0.2">
      <c r="A10">
        <v>8.4973462437594495E-23</v>
      </c>
      <c r="B10">
        <v>1.14326171551083</v>
      </c>
      <c r="C10">
        <v>0.65800000000000003</v>
      </c>
      <c r="D10">
        <v>0.216</v>
      </c>
      <c r="E10">
        <v>1.3156441189212799E-18</v>
      </c>
      <c r="F10" t="s">
        <v>1352</v>
      </c>
      <c r="G10" t="s">
        <v>1353</v>
      </c>
      <c r="H10" t="s">
        <v>1352</v>
      </c>
      <c r="I10" t="str">
        <f>HYPERLINK("https://zfin.org/ZDB-GENE-091204-19")</f>
        <v>https://zfin.org/ZDB-GENE-091204-19</v>
      </c>
      <c r="J10" t="s">
        <v>1351</v>
      </c>
    </row>
    <row r="11" spans="1:10" x14ac:dyDescent="0.2">
      <c r="A11">
        <v>4.5879321658086405E-22</v>
      </c>
      <c r="B11">
        <v>0.94181363944198204</v>
      </c>
      <c r="C11">
        <v>0.54700000000000004</v>
      </c>
      <c r="D11">
        <v>0.14099999999999999</v>
      </c>
      <c r="E11">
        <v>7.1034953723215196E-18</v>
      </c>
      <c r="F11" t="s">
        <v>1451</v>
      </c>
      <c r="G11" t="s">
        <v>1452</v>
      </c>
      <c r="H11" t="s">
        <v>1451</v>
      </c>
      <c r="I11" t="str">
        <f>HYPERLINK("https://zfin.org/ZDB-GENE-001212-5")</f>
        <v>https://zfin.org/ZDB-GENE-001212-5</v>
      </c>
      <c r="J11" t="s">
        <v>1450</v>
      </c>
    </row>
    <row r="12" spans="1:10" x14ac:dyDescent="0.2">
      <c r="A12">
        <v>5.5602175387185398E-22</v>
      </c>
      <c r="B12">
        <v>0.82740218588022796</v>
      </c>
      <c r="C12">
        <v>0.53400000000000003</v>
      </c>
      <c r="D12">
        <v>0.129</v>
      </c>
      <c r="E12">
        <v>8.60888481519791E-18</v>
      </c>
      <c r="F12" t="s">
        <v>2012</v>
      </c>
      <c r="G12" t="s">
        <v>2013</v>
      </c>
      <c r="H12" t="s">
        <v>2012</v>
      </c>
      <c r="I12" t="str">
        <f>HYPERLINK("https://zfin.org/ZDB-GENE-030131-8455")</f>
        <v>https://zfin.org/ZDB-GENE-030131-8455</v>
      </c>
      <c r="J12" t="s">
        <v>2011</v>
      </c>
    </row>
    <row r="13" spans="1:10" x14ac:dyDescent="0.2">
      <c r="A13">
        <v>6.4503588623065402E-22</v>
      </c>
      <c r="B13">
        <v>0.90728195469282302</v>
      </c>
      <c r="C13">
        <v>0.59</v>
      </c>
      <c r="D13">
        <v>0.17199999999999999</v>
      </c>
      <c r="E13">
        <v>9.9870906265092203E-18</v>
      </c>
      <c r="F13" t="s">
        <v>2578</v>
      </c>
      <c r="G13" t="s">
        <v>2579</v>
      </c>
      <c r="H13" t="s">
        <v>2578</v>
      </c>
      <c r="I13" t="str">
        <f>HYPERLINK("https://zfin.org/ZDB-GENE-080506-2")</f>
        <v>https://zfin.org/ZDB-GENE-080506-2</v>
      </c>
      <c r="J13" t="s">
        <v>2577</v>
      </c>
    </row>
    <row r="14" spans="1:10" x14ac:dyDescent="0.2">
      <c r="A14">
        <v>8.9259254274603391E-22</v>
      </c>
      <c r="B14">
        <v>0.94542099681452996</v>
      </c>
      <c r="C14">
        <v>0.90100000000000002</v>
      </c>
      <c r="D14">
        <v>0.66500000000000004</v>
      </c>
      <c r="E14">
        <v>1.38200103393368E-17</v>
      </c>
      <c r="F14" t="s">
        <v>1476</v>
      </c>
      <c r="G14" t="s">
        <v>1477</v>
      </c>
      <c r="H14" t="s">
        <v>1476</v>
      </c>
      <c r="I14" t="str">
        <f>HYPERLINK("https://zfin.org/ZDB-GENE-000619-1")</f>
        <v>https://zfin.org/ZDB-GENE-000619-1</v>
      </c>
      <c r="J14" t="s">
        <v>1475</v>
      </c>
    </row>
    <row r="15" spans="1:10" x14ac:dyDescent="0.2">
      <c r="A15">
        <v>6.9834333987815403E-21</v>
      </c>
      <c r="B15">
        <v>1.4614856082970999</v>
      </c>
      <c r="C15">
        <v>0.59</v>
      </c>
      <c r="D15">
        <v>0.19400000000000001</v>
      </c>
      <c r="E15">
        <v>1.08124499313335E-16</v>
      </c>
      <c r="F15" t="s">
        <v>1172</v>
      </c>
      <c r="G15" t="s">
        <v>1173</v>
      </c>
      <c r="H15" t="s">
        <v>1172</v>
      </c>
      <c r="I15" t="str">
        <f>HYPERLINK("https://zfin.org/ZDB-GENE-051030-98")</f>
        <v>https://zfin.org/ZDB-GENE-051030-98</v>
      </c>
      <c r="J15" t="s">
        <v>1171</v>
      </c>
    </row>
    <row r="16" spans="1:10" x14ac:dyDescent="0.2">
      <c r="A16">
        <v>1.5718577105430401E-20</v>
      </c>
      <c r="B16">
        <v>0.78608617689048299</v>
      </c>
      <c r="C16">
        <v>0.88200000000000001</v>
      </c>
      <c r="D16">
        <v>0.58899999999999997</v>
      </c>
      <c r="E16">
        <v>2.4337072932337799E-16</v>
      </c>
      <c r="F16" t="s">
        <v>165</v>
      </c>
      <c r="G16" t="s">
        <v>166</v>
      </c>
      <c r="H16" t="s">
        <v>165</v>
      </c>
      <c r="I16" t="str">
        <f>HYPERLINK("https://zfin.org/ZDB-GENE-030131-4678")</f>
        <v>https://zfin.org/ZDB-GENE-030131-4678</v>
      </c>
      <c r="J16" t="s">
        <v>167</v>
      </c>
    </row>
    <row r="17" spans="1:10" x14ac:dyDescent="0.2">
      <c r="A17">
        <v>4.5307936088431001E-20</v>
      </c>
      <c r="B17">
        <v>0.89709002912077795</v>
      </c>
      <c r="C17">
        <v>0.497</v>
      </c>
      <c r="D17">
        <v>0.125</v>
      </c>
      <c r="E17">
        <v>7.0150277445717796E-16</v>
      </c>
      <c r="F17" t="s">
        <v>2803</v>
      </c>
      <c r="G17" t="s">
        <v>2804</v>
      </c>
      <c r="H17" t="s">
        <v>2803</v>
      </c>
      <c r="I17" t="str">
        <f>HYPERLINK("https://zfin.org/ZDB-GENE-030715-1")</f>
        <v>https://zfin.org/ZDB-GENE-030715-1</v>
      </c>
      <c r="J17" t="s">
        <v>2802</v>
      </c>
    </row>
    <row r="18" spans="1:10" x14ac:dyDescent="0.2">
      <c r="A18">
        <v>2.99116838593879E-19</v>
      </c>
      <c r="B18">
        <v>0.57688913291662502</v>
      </c>
      <c r="C18">
        <v>1</v>
      </c>
      <c r="D18">
        <v>0.95</v>
      </c>
      <c r="E18">
        <v>4.6312260119490403E-15</v>
      </c>
      <c r="F18" t="s">
        <v>52</v>
      </c>
      <c r="G18" t="s">
        <v>53</v>
      </c>
      <c r="H18" t="s">
        <v>52</v>
      </c>
      <c r="I18" t="str">
        <f>HYPERLINK("https://zfin.org/ZDB-GENE-040426-1508")</f>
        <v>https://zfin.org/ZDB-GENE-040426-1508</v>
      </c>
      <c r="J18" t="s">
        <v>54</v>
      </c>
    </row>
    <row r="19" spans="1:10" x14ac:dyDescent="0.2">
      <c r="A19">
        <v>1.9002674410843199E-17</v>
      </c>
      <c r="B19">
        <v>0.79576359340689495</v>
      </c>
      <c r="C19">
        <v>0.75800000000000001</v>
      </c>
      <c r="D19">
        <v>0.45100000000000001</v>
      </c>
      <c r="E19">
        <v>2.9421840790308498E-13</v>
      </c>
      <c r="F19" t="s">
        <v>1196</v>
      </c>
      <c r="G19" t="s">
        <v>1197</v>
      </c>
      <c r="H19" t="s">
        <v>1196</v>
      </c>
      <c r="I19" t="str">
        <f>HYPERLINK("https://zfin.org/ZDB-GENE-061103-283")</f>
        <v>https://zfin.org/ZDB-GENE-061103-283</v>
      </c>
      <c r="J19" t="s">
        <v>1195</v>
      </c>
    </row>
    <row r="20" spans="1:10" x14ac:dyDescent="0.2">
      <c r="A20">
        <v>1.17078311239119E-16</v>
      </c>
      <c r="B20">
        <v>0.91399849899770502</v>
      </c>
      <c r="C20">
        <v>0.67700000000000005</v>
      </c>
      <c r="D20">
        <v>0.32900000000000001</v>
      </c>
      <c r="E20">
        <v>1.81272349291528E-12</v>
      </c>
      <c r="F20" t="s">
        <v>1464</v>
      </c>
      <c r="G20" t="s">
        <v>1465</v>
      </c>
      <c r="H20" t="s">
        <v>1464</v>
      </c>
      <c r="I20" t="str">
        <f>HYPERLINK("https://zfin.org/ZDB-GENE-080829-12")</f>
        <v>https://zfin.org/ZDB-GENE-080829-12</v>
      </c>
      <c r="J20" t="s">
        <v>1463</v>
      </c>
    </row>
    <row r="21" spans="1:10" x14ac:dyDescent="0.2">
      <c r="A21">
        <v>1.7700283878865699E-16</v>
      </c>
      <c r="B21">
        <v>0.79455119091017601</v>
      </c>
      <c r="C21">
        <v>0.441</v>
      </c>
      <c r="D21">
        <v>0.11</v>
      </c>
      <c r="E21">
        <v>2.74053495296478E-12</v>
      </c>
      <c r="F21" t="s">
        <v>1512</v>
      </c>
      <c r="G21" t="s">
        <v>1513</v>
      </c>
      <c r="H21" t="s">
        <v>1512</v>
      </c>
      <c r="I21" t="str">
        <f>HYPERLINK("https://zfin.org/ZDB-GENE-001020-1")</f>
        <v>https://zfin.org/ZDB-GENE-001020-1</v>
      </c>
      <c r="J21" t="s">
        <v>1511</v>
      </c>
    </row>
    <row r="22" spans="1:10" x14ac:dyDescent="0.2">
      <c r="A22">
        <v>3.10968287404958E-16</v>
      </c>
      <c r="B22">
        <v>0.89164698470997605</v>
      </c>
      <c r="C22">
        <v>0.373</v>
      </c>
      <c r="D22">
        <v>7.1999999999999995E-2</v>
      </c>
      <c r="E22">
        <v>4.8147219938909701E-12</v>
      </c>
      <c r="F22" t="s">
        <v>1560</v>
      </c>
      <c r="G22" t="s">
        <v>1561</v>
      </c>
      <c r="H22" t="s">
        <v>1560</v>
      </c>
      <c r="I22" t="str">
        <f>HYPERLINK("https://zfin.org/ZDB-GENE-030131-5783")</f>
        <v>https://zfin.org/ZDB-GENE-030131-5783</v>
      </c>
      <c r="J22" t="s">
        <v>1559</v>
      </c>
    </row>
    <row r="23" spans="1:10" x14ac:dyDescent="0.2">
      <c r="A23">
        <v>7.1364693723625099E-16</v>
      </c>
      <c r="B23">
        <v>0.798444845657725</v>
      </c>
      <c r="C23">
        <v>0.441</v>
      </c>
      <c r="D23">
        <v>0.11899999999999999</v>
      </c>
      <c r="E23">
        <v>1.10493955292289E-11</v>
      </c>
      <c r="F23" t="s">
        <v>1152</v>
      </c>
      <c r="G23" t="s">
        <v>1153</v>
      </c>
      <c r="H23" t="s">
        <v>1152</v>
      </c>
      <c r="I23" t="str">
        <f>HYPERLINK("https://zfin.org/ZDB-GENE-030131-3481")</f>
        <v>https://zfin.org/ZDB-GENE-030131-3481</v>
      </c>
      <c r="J23" t="s">
        <v>1151</v>
      </c>
    </row>
    <row r="24" spans="1:10" x14ac:dyDescent="0.2">
      <c r="A24">
        <v>1.84422290232222E-15</v>
      </c>
      <c r="B24">
        <v>0.768235759763365</v>
      </c>
      <c r="C24">
        <v>0.41599999999999998</v>
      </c>
      <c r="D24">
        <v>0.10299999999999999</v>
      </c>
      <c r="E24">
        <v>2.8554103196654999E-11</v>
      </c>
      <c r="F24" t="s">
        <v>2000</v>
      </c>
      <c r="G24" t="s">
        <v>2001</v>
      </c>
      <c r="H24" t="s">
        <v>2000</v>
      </c>
      <c r="I24" t="str">
        <f>HYPERLINK("https://zfin.org/ZDB-GENE-011109-2")</f>
        <v>https://zfin.org/ZDB-GENE-011109-2</v>
      </c>
      <c r="J24" t="s">
        <v>1999</v>
      </c>
    </row>
    <row r="25" spans="1:10" x14ac:dyDescent="0.2">
      <c r="A25">
        <v>1.4472611493078301E-14</v>
      </c>
      <c r="B25">
        <v>0.57748799172764498</v>
      </c>
      <c r="C25">
        <v>0.92500000000000004</v>
      </c>
      <c r="D25">
        <v>0.77400000000000002</v>
      </c>
      <c r="E25">
        <v>2.2407944374733099E-10</v>
      </c>
      <c r="F25" t="s">
        <v>88</v>
      </c>
      <c r="G25" t="s">
        <v>89</v>
      </c>
      <c r="H25" t="s">
        <v>88</v>
      </c>
      <c r="I25" t="str">
        <f>HYPERLINK("https://zfin.org/ZDB-GENE-030825-1")</f>
        <v>https://zfin.org/ZDB-GENE-030825-1</v>
      </c>
      <c r="J25" t="s">
        <v>90</v>
      </c>
    </row>
    <row r="26" spans="1:10" x14ac:dyDescent="0.2">
      <c r="A26">
        <v>1.9682532750603401E-14</v>
      </c>
      <c r="B26">
        <v>0.54033471717440196</v>
      </c>
      <c r="C26">
        <v>0.95</v>
      </c>
      <c r="D26">
        <v>0.79900000000000004</v>
      </c>
      <c r="E26">
        <v>3.0474465457759301E-10</v>
      </c>
      <c r="F26" t="s">
        <v>694</v>
      </c>
      <c r="G26" t="s">
        <v>695</v>
      </c>
      <c r="H26" t="s">
        <v>694</v>
      </c>
      <c r="I26" t="str">
        <f>HYPERLINK("https://zfin.org/ZDB-GENE-030410-5")</f>
        <v>https://zfin.org/ZDB-GENE-030410-5</v>
      </c>
      <c r="J26" t="s">
        <v>693</v>
      </c>
    </row>
    <row r="27" spans="1:10" x14ac:dyDescent="0.2">
      <c r="A27">
        <v>5.6486964099793598E-14</v>
      </c>
      <c r="B27">
        <v>0.62664971752538601</v>
      </c>
      <c r="C27">
        <v>0.97499999999999998</v>
      </c>
      <c r="D27">
        <v>0.80900000000000005</v>
      </c>
      <c r="E27">
        <v>8.7458766515710498E-10</v>
      </c>
      <c r="F27" t="s">
        <v>700</v>
      </c>
      <c r="G27" t="s">
        <v>701</v>
      </c>
      <c r="H27" t="s">
        <v>700</v>
      </c>
      <c r="I27" t="str">
        <f>HYPERLINK("https://zfin.org/ZDB-GENE-030131-7859")</f>
        <v>https://zfin.org/ZDB-GENE-030131-7859</v>
      </c>
      <c r="J27" t="s">
        <v>699</v>
      </c>
    </row>
    <row r="28" spans="1:10" x14ac:dyDescent="0.2">
      <c r="A28">
        <v>1.7926508104339601E-13</v>
      </c>
      <c r="B28">
        <v>0.63527354432660899</v>
      </c>
      <c r="C28">
        <v>0.26700000000000002</v>
      </c>
      <c r="D28">
        <v>3.7999999999999999E-2</v>
      </c>
      <c r="E28">
        <v>2.7755612497949E-9</v>
      </c>
      <c r="F28" t="s">
        <v>1421</v>
      </c>
      <c r="G28" t="s">
        <v>1422</v>
      </c>
      <c r="H28" t="s">
        <v>1421</v>
      </c>
      <c r="I28" t="str">
        <f>HYPERLINK("https://zfin.org/ZDB-GENE-070705-193")</f>
        <v>https://zfin.org/ZDB-GENE-070705-193</v>
      </c>
      <c r="J28" t="s">
        <v>1420</v>
      </c>
    </row>
    <row r="29" spans="1:10" x14ac:dyDescent="0.2">
      <c r="A29">
        <v>2.3417984226212102E-13</v>
      </c>
      <c r="B29">
        <v>0.68317725584631706</v>
      </c>
      <c r="C29">
        <v>0.35399999999999998</v>
      </c>
      <c r="D29">
        <v>8.5000000000000006E-2</v>
      </c>
      <c r="E29">
        <v>3.62580649774442E-9</v>
      </c>
      <c r="F29" t="s">
        <v>1298</v>
      </c>
      <c r="G29" t="s">
        <v>1299</v>
      </c>
      <c r="H29" t="s">
        <v>1298</v>
      </c>
      <c r="I29" t="str">
        <f>HYPERLINK("https://zfin.org/ZDB-GENE-070502-5")</f>
        <v>https://zfin.org/ZDB-GENE-070502-5</v>
      </c>
      <c r="J29" t="s">
        <v>1297</v>
      </c>
    </row>
    <row r="30" spans="1:10" x14ac:dyDescent="0.2">
      <c r="A30">
        <v>2.9266834861754301E-13</v>
      </c>
      <c r="B30">
        <v>0.60712184141226599</v>
      </c>
      <c r="C30">
        <v>0.65800000000000003</v>
      </c>
      <c r="D30">
        <v>0.33200000000000002</v>
      </c>
      <c r="E30">
        <v>4.5313840416454098E-9</v>
      </c>
      <c r="F30" t="s">
        <v>261</v>
      </c>
      <c r="G30" t="s">
        <v>262</v>
      </c>
      <c r="H30" t="s">
        <v>261</v>
      </c>
      <c r="I30" t="str">
        <f>HYPERLINK("https://zfin.org/ZDB-GENE-030131-2159")</f>
        <v>https://zfin.org/ZDB-GENE-030131-2159</v>
      </c>
      <c r="J30" t="s">
        <v>263</v>
      </c>
    </row>
    <row r="31" spans="1:10" x14ac:dyDescent="0.2">
      <c r="A31">
        <v>1.7640687390431099E-12</v>
      </c>
      <c r="B31">
        <v>0.45031124914390203</v>
      </c>
      <c r="C31">
        <v>0.99399999999999999</v>
      </c>
      <c r="D31">
        <v>0.89</v>
      </c>
      <c r="E31">
        <v>2.7313076286604499E-8</v>
      </c>
      <c r="F31" t="s">
        <v>46</v>
      </c>
      <c r="G31" t="s">
        <v>47</v>
      </c>
      <c r="H31" t="s">
        <v>46</v>
      </c>
      <c r="I31" t="str">
        <f>HYPERLINK("https://zfin.org/ZDB-GENE-060503-431")</f>
        <v>https://zfin.org/ZDB-GENE-060503-431</v>
      </c>
      <c r="J31" t="s">
        <v>48</v>
      </c>
    </row>
    <row r="32" spans="1:10" x14ac:dyDescent="0.2">
      <c r="A32">
        <v>5.3482711729012199E-12</v>
      </c>
      <c r="B32">
        <v>0.83289403929152295</v>
      </c>
      <c r="C32">
        <v>0.28000000000000003</v>
      </c>
      <c r="D32">
        <v>5.6000000000000001E-2</v>
      </c>
      <c r="E32">
        <v>8.2807282570029601E-8</v>
      </c>
      <c r="F32" t="s">
        <v>1214</v>
      </c>
      <c r="G32" t="s">
        <v>1215</v>
      </c>
      <c r="H32" t="s">
        <v>1214</v>
      </c>
      <c r="I32" t="str">
        <f>HYPERLINK("https://zfin.org/ZDB-GENE-980526-249")</f>
        <v>https://zfin.org/ZDB-GENE-980526-249</v>
      </c>
      <c r="J32" t="s">
        <v>1213</v>
      </c>
    </row>
    <row r="33" spans="1:10" x14ac:dyDescent="0.2">
      <c r="A33">
        <v>5.5390495044150499E-12</v>
      </c>
      <c r="B33">
        <v>0.67634599313365995</v>
      </c>
      <c r="C33">
        <v>0.46</v>
      </c>
      <c r="D33">
        <v>0.185</v>
      </c>
      <c r="E33">
        <v>8.5761103476858201E-8</v>
      </c>
      <c r="F33" t="s">
        <v>1385</v>
      </c>
      <c r="G33" t="s">
        <v>1386</v>
      </c>
      <c r="H33" t="s">
        <v>1385</v>
      </c>
      <c r="I33" t="str">
        <f>HYPERLINK("https://zfin.org/ZDB-GENE-040426-1370")</f>
        <v>https://zfin.org/ZDB-GENE-040426-1370</v>
      </c>
      <c r="J33" t="s">
        <v>1384</v>
      </c>
    </row>
    <row r="34" spans="1:10" x14ac:dyDescent="0.2">
      <c r="A34">
        <v>7.1414422604608399E-12</v>
      </c>
      <c r="B34">
        <v>0.72420728310342797</v>
      </c>
      <c r="C34">
        <v>0.23</v>
      </c>
      <c r="D34">
        <v>3.4000000000000002E-2</v>
      </c>
      <c r="E34">
        <v>1.10570950518715E-7</v>
      </c>
      <c r="F34" t="s">
        <v>1340</v>
      </c>
      <c r="G34" t="s">
        <v>1341</v>
      </c>
      <c r="H34" t="s">
        <v>1340</v>
      </c>
      <c r="I34" t="str">
        <f>HYPERLINK("https://zfin.org/ZDB-GENE-131121-141")</f>
        <v>https://zfin.org/ZDB-GENE-131121-141</v>
      </c>
      <c r="J34" t="s">
        <v>1339</v>
      </c>
    </row>
    <row r="35" spans="1:10" x14ac:dyDescent="0.2">
      <c r="A35">
        <v>8.1192241695090093E-12</v>
      </c>
      <c r="B35">
        <v>0.73317854520696601</v>
      </c>
      <c r="C35">
        <v>0.34799999999999998</v>
      </c>
      <c r="D35">
        <v>0.10299999999999999</v>
      </c>
      <c r="E35">
        <v>1.25709947816508E-7</v>
      </c>
      <c r="F35" t="s">
        <v>3045</v>
      </c>
      <c r="G35" t="s">
        <v>3046</v>
      </c>
      <c r="H35" t="s">
        <v>3045</v>
      </c>
      <c r="I35" t="str">
        <f>HYPERLINK("https://zfin.org/ZDB-GENE-041014-323")</f>
        <v>https://zfin.org/ZDB-GENE-041014-323</v>
      </c>
      <c r="J35" t="s">
        <v>3044</v>
      </c>
    </row>
    <row r="36" spans="1:10" x14ac:dyDescent="0.2">
      <c r="A36">
        <v>1.6442635147297001E-11</v>
      </c>
      <c r="B36">
        <v>0.76553407041947996</v>
      </c>
      <c r="C36">
        <v>0.72699999999999998</v>
      </c>
      <c r="D36">
        <v>0.45500000000000002</v>
      </c>
      <c r="E36">
        <v>2.5458131998559898E-7</v>
      </c>
      <c r="F36" t="s">
        <v>2563</v>
      </c>
      <c r="G36" t="s">
        <v>2564</v>
      </c>
      <c r="H36" t="s">
        <v>2563</v>
      </c>
      <c r="I36" t="str">
        <f>HYPERLINK("https://zfin.org/ZDB-GENE-131127-95")</f>
        <v>https://zfin.org/ZDB-GENE-131127-95</v>
      </c>
      <c r="J36" t="s">
        <v>2562</v>
      </c>
    </row>
    <row r="37" spans="1:10" x14ac:dyDescent="0.2">
      <c r="A37">
        <v>2.0246947415721401E-11</v>
      </c>
      <c r="B37">
        <v>0.67520178141850395</v>
      </c>
      <c r="C37">
        <v>0.48399999999999999</v>
      </c>
      <c r="D37">
        <v>0.19400000000000001</v>
      </c>
      <c r="E37">
        <v>3.1348348683761401E-7</v>
      </c>
      <c r="F37" t="s">
        <v>1110</v>
      </c>
      <c r="G37" t="s">
        <v>1111</v>
      </c>
      <c r="H37" t="s">
        <v>1110</v>
      </c>
      <c r="I37" t="str">
        <f>HYPERLINK("https://zfin.org/ZDB-GENE-980526-144")</f>
        <v>https://zfin.org/ZDB-GENE-980526-144</v>
      </c>
      <c r="J37" t="s">
        <v>1109</v>
      </c>
    </row>
    <row r="38" spans="1:10" x14ac:dyDescent="0.2">
      <c r="A38">
        <v>5.9541776612333799E-11</v>
      </c>
      <c r="B38">
        <v>0.50171885685080997</v>
      </c>
      <c r="C38">
        <v>0.193</v>
      </c>
      <c r="D38">
        <v>2.1999999999999999E-2</v>
      </c>
      <c r="E38">
        <v>9.2188532728876396E-7</v>
      </c>
      <c r="F38" t="s">
        <v>3042</v>
      </c>
      <c r="G38" t="s">
        <v>3043</v>
      </c>
      <c r="H38" t="s">
        <v>3042</v>
      </c>
      <c r="I38" t="str">
        <f>HYPERLINK("https://zfin.org/ZDB-GENE-031003-1")</f>
        <v>https://zfin.org/ZDB-GENE-031003-1</v>
      </c>
      <c r="J38" t="s">
        <v>3041</v>
      </c>
    </row>
    <row r="39" spans="1:10" x14ac:dyDescent="0.2">
      <c r="A39">
        <v>1.54446495134217E-10</v>
      </c>
      <c r="B39">
        <v>0.422635317897326</v>
      </c>
      <c r="C39">
        <v>0.92500000000000004</v>
      </c>
      <c r="D39">
        <v>0.81200000000000006</v>
      </c>
      <c r="E39">
        <v>2.3912950841630799E-6</v>
      </c>
      <c r="F39" t="s">
        <v>180</v>
      </c>
      <c r="G39" t="s">
        <v>181</v>
      </c>
      <c r="H39" t="s">
        <v>180</v>
      </c>
      <c r="I39" t="str">
        <f>HYPERLINK("https://zfin.org/ZDB-GENE-030826-15")</f>
        <v>https://zfin.org/ZDB-GENE-030826-15</v>
      </c>
      <c r="J39" t="s">
        <v>182</v>
      </c>
    </row>
    <row r="40" spans="1:10" x14ac:dyDescent="0.2">
      <c r="A40">
        <v>1.6417851670500799E-10</v>
      </c>
      <c r="B40">
        <v>0.42998547934239501</v>
      </c>
      <c r="C40">
        <v>0.94399999999999995</v>
      </c>
      <c r="D40">
        <v>0.73</v>
      </c>
      <c r="E40">
        <v>2.54197597414363E-6</v>
      </c>
      <c r="F40" t="s">
        <v>3039</v>
      </c>
      <c r="G40" t="s">
        <v>3040</v>
      </c>
      <c r="H40" t="s">
        <v>3039</v>
      </c>
      <c r="I40" t="str">
        <f>HYPERLINK("https://zfin.org/ZDB-GENE-031118-36")</f>
        <v>https://zfin.org/ZDB-GENE-031118-36</v>
      </c>
      <c r="J40" t="s">
        <v>3038</v>
      </c>
    </row>
    <row r="41" spans="1:10" x14ac:dyDescent="0.2">
      <c r="A41">
        <v>2.3027444471677501E-10</v>
      </c>
      <c r="B41">
        <v>0.815075306692709</v>
      </c>
      <c r="C41">
        <v>0.47199999999999998</v>
      </c>
      <c r="D41">
        <v>0.219</v>
      </c>
      <c r="E41">
        <v>3.5653392275498202E-6</v>
      </c>
      <c r="F41" t="s">
        <v>2371</v>
      </c>
      <c r="G41" t="s">
        <v>2372</v>
      </c>
      <c r="H41" t="s">
        <v>2371</v>
      </c>
      <c r="I41" t="str">
        <f>HYPERLINK("https://zfin.org/ZDB-GENE-100922-65")</f>
        <v>https://zfin.org/ZDB-GENE-100922-65</v>
      </c>
      <c r="J41" t="s">
        <v>2370</v>
      </c>
    </row>
    <row r="42" spans="1:10" x14ac:dyDescent="0.2">
      <c r="A42">
        <v>2.74140801657766E-10</v>
      </c>
      <c r="B42">
        <v>0.60400122732533401</v>
      </c>
      <c r="C42">
        <v>0.23</v>
      </c>
      <c r="D42">
        <v>4.1000000000000002E-2</v>
      </c>
      <c r="E42">
        <v>4.2445220320672003E-6</v>
      </c>
      <c r="F42" t="s">
        <v>3036</v>
      </c>
      <c r="G42" t="s">
        <v>3037</v>
      </c>
      <c r="H42" t="s">
        <v>3036</v>
      </c>
      <c r="I42" t="str">
        <f>HYPERLINK("https://zfin.org/ZDB-GENE-040704-63")</f>
        <v>https://zfin.org/ZDB-GENE-040704-63</v>
      </c>
      <c r="J42" t="s">
        <v>3035</v>
      </c>
    </row>
    <row r="43" spans="1:10" x14ac:dyDescent="0.2">
      <c r="A43">
        <v>2.8514327010703701E-10</v>
      </c>
      <c r="B43">
        <v>0.80450338967794599</v>
      </c>
      <c r="C43">
        <v>0.78900000000000003</v>
      </c>
      <c r="D43">
        <v>0.54500000000000004</v>
      </c>
      <c r="E43">
        <v>4.4148732510672497E-6</v>
      </c>
      <c r="F43" t="s">
        <v>1166</v>
      </c>
      <c r="G43" t="s">
        <v>1167</v>
      </c>
      <c r="H43" t="s">
        <v>1166</v>
      </c>
      <c r="I43" t="str">
        <f>HYPERLINK("https://zfin.org/")</f>
        <v>https://zfin.org/</v>
      </c>
    </row>
    <row r="44" spans="1:10" x14ac:dyDescent="0.2">
      <c r="A44">
        <v>5.4728261560464397E-10</v>
      </c>
      <c r="B44">
        <v>0.54149448980081805</v>
      </c>
      <c r="C44">
        <v>0.32300000000000001</v>
      </c>
      <c r="D44">
        <v>9.4E-2</v>
      </c>
      <c r="E44">
        <v>8.4735767374066998E-6</v>
      </c>
      <c r="F44" t="s">
        <v>3033</v>
      </c>
      <c r="G44" t="s">
        <v>3034</v>
      </c>
      <c r="H44" t="s">
        <v>3033</v>
      </c>
      <c r="I44" t="str">
        <f>HYPERLINK("https://zfin.org/ZDB-GENE-050522-18")</f>
        <v>https://zfin.org/ZDB-GENE-050522-18</v>
      </c>
      <c r="J44" t="s">
        <v>3032</v>
      </c>
    </row>
    <row r="45" spans="1:10" x14ac:dyDescent="0.2">
      <c r="A45">
        <v>1.2518773623232601E-9</v>
      </c>
      <c r="B45">
        <v>0.488279054968218</v>
      </c>
      <c r="C45">
        <v>0.75800000000000001</v>
      </c>
      <c r="D45">
        <v>0.53</v>
      </c>
      <c r="E45">
        <v>1.9382817200851E-5</v>
      </c>
      <c r="F45" t="s">
        <v>2928</v>
      </c>
      <c r="G45" t="s">
        <v>2929</v>
      </c>
      <c r="H45" t="s">
        <v>2928</v>
      </c>
      <c r="I45" t="str">
        <f>HYPERLINK("https://zfin.org/ZDB-GENE-030131-9784")</f>
        <v>https://zfin.org/ZDB-GENE-030131-9784</v>
      </c>
      <c r="J45" t="s">
        <v>2927</v>
      </c>
    </row>
    <row r="46" spans="1:10" x14ac:dyDescent="0.2">
      <c r="A46">
        <v>1.5060611497289999E-9</v>
      </c>
      <c r="B46">
        <v>0.53137655933521399</v>
      </c>
      <c r="C46">
        <v>0.72699999999999998</v>
      </c>
      <c r="D46">
        <v>0.48899999999999999</v>
      </c>
      <c r="E46">
        <v>2.33183447812541E-5</v>
      </c>
      <c r="F46" t="s">
        <v>297</v>
      </c>
      <c r="G46" t="s">
        <v>298</v>
      </c>
      <c r="H46" t="s">
        <v>297</v>
      </c>
      <c r="I46" t="str">
        <f>HYPERLINK("https://zfin.org/ZDB-GENE-051023-8")</f>
        <v>https://zfin.org/ZDB-GENE-051023-8</v>
      </c>
      <c r="J46" t="s">
        <v>299</v>
      </c>
    </row>
    <row r="47" spans="1:10" x14ac:dyDescent="0.2">
      <c r="A47">
        <v>1.55520655174172E-9</v>
      </c>
      <c r="B47">
        <v>0.62731270088800295</v>
      </c>
      <c r="C47">
        <v>0.44700000000000001</v>
      </c>
      <c r="D47">
        <v>0.185</v>
      </c>
      <c r="E47">
        <v>2.4079263040616999E-5</v>
      </c>
      <c r="F47" t="s">
        <v>3030</v>
      </c>
      <c r="G47" t="s">
        <v>3031</v>
      </c>
      <c r="H47" t="s">
        <v>3030</v>
      </c>
      <c r="I47" t="str">
        <f>HYPERLINK("https://zfin.org/ZDB-GENE-091204-265")</f>
        <v>https://zfin.org/ZDB-GENE-091204-265</v>
      </c>
      <c r="J47" t="s">
        <v>3029</v>
      </c>
    </row>
    <row r="48" spans="1:10" x14ac:dyDescent="0.2">
      <c r="A48">
        <v>1.7221064865264201E-9</v>
      </c>
      <c r="B48">
        <v>0.58520590804579498</v>
      </c>
      <c r="C48">
        <v>0.51600000000000001</v>
      </c>
      <c r="D48">
        <v>0.254</v>
      </c>
      <c r="E48">
        <v>2.6663374730888499E-5</v>
      </c>
      <c r="F48" t="s">
        <v>1370</v>
      </c>
      <c r="G48" t="s">
        <v>1371</v>
      </c>
      <c r="H48" t="s">
        <v>1370</v>
      </c>
      <c r="I48" t="str">
        <f>HYPERLINK("https://zfin.org/ZDB-GENE-050320-111")</f>
        <v>https://zfin.org/ZDB-GENE-050320-111</v>
      </c>
      <c r="J48" t="s">
        <v>1369</v>
      </c>
    </row>
    <row r="49" spans="1:10" x14ac:dyDescent="0.2">
      <c r="A49">
        <v>1.82270077848841E-9</v>
      </c>
      <c r="B49">
        <v>0.457820303744993</v>
      </c>
      <c r="C49">
        <v>0.33500000000000002</v>
      </c>
      <c r="D49">
        <v>0.107</v>
      </c>
      <c r="E49">
        <v>2.8220876153336101E-5</v>
      </c>
      <c r="F49" t="s">
        <v>3027</v>
      </c>
      <c r="G49" t="s">
        <v>3028</v>
      </c>
      <c r="H49" t="s">
        <v>3027</v>
      </c>
      <c r="I49" t="str">
        <f>HYPERLINK("https://zfin.org/ZDB-GENE-030131-7489")</f>
        <v>https://zfin.org/ZDB-GENE-030131-7489</v>
      </c>
      <c r="J49" t="s">
        <v>3026</v>
      </c>
    </row>
    <row r="50" spans="1:10" x14ac:dyDescent="0.2">
      <c r="A50">
        <v>1.8622016041864001E-9</v>
      </c>
      <c r="B50">
        <v>0.57121982974736196</v>
      </c>
      <c r="C50">
        <v>0.94399999999999995</v>
      </c>
      <c r="D50">
        <v>0.83099999999999996</v>
      </c>
      <c r="E50">
        <v>2.88324674376181E-5</v>
      </c>
      <c r="F50" t="s">
        <v>130</v>
      </c>
      <c r="G50" t="s">
        <v>131</v>
      </c>
      <c r="H50" t="s">
        <v>130</v>
      </c>
      <c r="I50" t="str">
        <f>HYPERLINK("https://zfin.org/ZDB-GENE-030131-8599")</f>
        <v>https://zfin.org/ZDB-GENE-030131-8599</v>
      </c>
      <c r="J50" t="s">
        <v>132</v>
      </c>
    </row>
    <row r="51" spans="1:10" x14ac:dyDescent="0.2">
      <c r="A51">
        <v>2.7904202496904699E-9</v>
      </c>
      <c r="B51">
        <v>0.35055106178880902</v>
      </c>
      <c r="C51">
        <v>0.95</v>
      </c>
      <c r="D51">
        <v>0.80900000000000005</v>
      </c>
      <c r="E51">
        <v>4.32040767259576E-5</v>
      </c>
      <c r="F51" t="s">
        <v>3024</v>
      </c>
      <c r="G51" t="s">
        <v>3025</v>
      </c>
      <c r="H51" t="s">
        <v>3024</v>
      </c>
      <c r="I51" t="str">
        <f>HYPERLINK("https://zfin.org/ZDB-GENE-030131-925")</f>
        <v>https://zfin.org/ZDB-GENE-030131-925</v>
      </c>
      <c r="J51" t="s">
        <v>3023</v>
      </c>
    </row>
    <row r="52" spans="1:10" x14ac:dyDescent="0.2">
      <c r="A52">
        <v>2.9752237159046702E-9</v>
      </c>
      <c r="B52">
        <v>0.53554800194187102</v>
      </c>
      <c r="C52">
        <v>0.39800000000000002</v>
      </c>
      <c r="D52">
        <v>0.154</v>
      </c>
      <c r="E52">
        <v>4.6065388793351999E-5</v>
      </c>
      <c r="F52" t="s">
        <v>3021</v>
      </c>
      <c r="G52" t="s">
        <v>3022</v>
      </c>
      <c r="H52" t="s">
        <v>3021</v>
      </c>
      <c r="I52" t="str">
        <f>HYPERLINK("https://zfin.org/ZDB-GENE-090814-2")</f>
        <v>https://zfin.org/ZDB-GENE-090814-2</v>
      </c>
      <c r="J52" t="s">
        <v>3020</v>
      </c>
    </row>
    <row r="53" spans="1:10" x14ac:dyDescent="0.2">
      <c r="A53">
        <v>3.1292617602520601E-9</v>
      </c>
      <c r="B53">
        <v>0.59942720380344505</v>
      </c>
      <c r="C53">
        <v>0.42899999999999999</v>
      </c>
      <c r="D53">
        <v>0.182</v>
      </c>
      <c r="E53">
        <v>4.8450359833982603E-5</v>
      </c>
      <c r="F53" t="s">
        <v>2572</v>
      </c>
      <c r="G53" t="s">
        <v>2573</v>
      </c>
      <c r="H53" t="s">
        <v>2572</v>
      </c>
      <c r="I53" t="str">
        <f>HYPERLINK("https://zfin.org/ZDB-GENE-081104-416")</f>
        <v>https://zfin.org/ZDB-GENE-081104-416</v>
      </c>
      <c r="J53" t="s">
        <v>2571</v>
      </c>
    </row>
    <row r="54" spans="1:10" x14ac:dyDescent="0.2">
      <c r="A54">
        <v>3.36001217600261E-9</v>
      </c>
      <c r="B54">
        <v>0.55648391551545995</v>
      </c>
      <c r="C54">
        <v>0.745</v>
      </c>
      <c r="D54">
        <v>0.55200000000000005</v>
      </c>
      <c r="E54">
        <v>5.20230685210484E-5</v>
      </c>
      <c r="F54" t="s">
        <v>1482</v>
      </c>
      <c r="G54" t="s">
        <v>1483</v>
      </c>
      <c r="H54" t="s">
        <v>1482</v>
      </c>
      <c r="I54" t="str">
        <f>HYPERLINK("https://zfin.org/ZDB-GENE-040426-2826")</f>
        <v>https://zfin.org/ZDB-GENE-040426-2826</v>
      </c>
      <c r="J54" t="s">
        <v>1481</v>
      </c>
    </row>
    <row r="55" spans="1:10" x14ac:dyDescent="0.2">
      <c r="A55">
        <v>3.47572743515071E-9</v>
      </c>
      <c r="B55">
        <v>0.61749821916657899</v>
      </c>
      <c r="C55">
        <v>0.61499999999999999</v>
      </c>
      <c r="D55">
        <v>0.37</v>
      </c>
      <c r="E55">
        <v>5.3814687878438397E-5</v>
      </c>
      <c r="F55" t="s">
        <v>249</v>
      </c>
      <c r="G55" t="s">
        <v>250</v>
      </c>
      <c r="H55" t="s">
        <v>249</v>
      </c>
      <c r="I55" t="str">
        <f>HYPERLINK("https://zfin.org/ZDB-GENE-141212-380")</f>
        <v>https://zfin.org/ZDB-GENE-141212-380</v>
      </c>
      <c r="J55" t="s">
        <v>251</v>
      </c>
    </row>
    <row r="56" spans="1:10" x14ac:dyDescent="0.2">
      <c r="A56">
        <v>6.5156995469138599E-9</v>
      </c>
      <c r="B56">
        <v>0.47325841064122898</v>
      </c>
      <c r="C56">
        <v>0.73899999999999999</v>
      </c>
      <c r="D56">
        <v>0.53300000000000003</v>
      </c>
      <c r="E56">
        <v>1.00882576084867E-4</v>
      </c>
      <c r="F56" t="s">
        <v>1551</v>
      </c>
      <c r="G56" t="s">
        <v>1552</v>
      </c>
      <c r="H56" t="s">
        <v>1551</v>
      </c>
      <c r="I56" t="str">
        <f>HYPERLINK("https://zfin.org/ZDB-GENE-030131-1957")</f>
        <v>https://zfin.org/ZDB-GENE-030131-1957</v>
      </c>
      <c r="J56" t="s">
        <v>1550</v>
      </c>
    </row>
    <row r="57" spans="1:10" x14ac:dyDescent="0.2">
      <c r="A57">
        <v>6.9529528759168997E-9</v>
      </c>
      <c r="B57">
        <v>0.522033383807328</v>
      </c>
      <c r="C57">
        <v>0.224</v>
      </c>
      <c r="D57">
        <v>0.05</v>
      </c>
      <c r="E57">
        <v>1.0765256937782101E-4</v>
      </c>
      <c r="F57" t="s">
        <v>3018</v>
      </c>
      <c r="G57" t="s">
        <v>3019</v>
      </c>
      <c r="H57" t="s">
        <v>3018</v>
      </c>
      <c r="I57" t="str">
        <f>HYPERLINK("https://zfin.org/ZDB-GENE-010619-1")</f>
        <v>https://zfin.org/ZDB-GENE-010619-1</v>
      </c>
      <c r="J57" t="s">
        <v>3017</v>
      </c>
    </row>
    <row r="58" spans="1:10" x14ac:dyDescent="0.2">
      <c r="A58">
        <v>7.3495591764242199E-9</v>
      </c>
      <c r="B58">
        <v>0.53482325265368902</v>
      </c>
      <c r="C58">
        <v>0.30399999999999999</v>
      </c>
      <c r="D58">
        <v>0.1</v>
      </c>
      <c r="E58">
        <v>1.13793224728576E-4</v>
      </c>
      <c r="F58" t="s">
        <v>3015</v>
      </c>
      <c r="G58" t="s">
        <v>3016</v>
      </c>
      <c r="H58" t="s">
        <v>3015</v>
      </c>
      <c r="I58" t="str">
        <f>HYPERLINK("https://zfin.org/ZDB-GENE-041111-244")</f>
        <v>https://zfin.org/ZDB-GENE-041111-244</v>
      </c>
      <c r="J58" t="s">
        <v>3014</v>
      </c>
    </row>
    <row r="59" spans="1:10" x14ac:dyDescent="0.2">
      <c r="A59">
        <v>7.5266773627023897E-9</v>
      </c>
      <c r="B59">
        <v>0.72207200293001805</v>
      </c>
      <c r="C59">
        <v>0.53400000000000003</v>
      </c>
      <c r="D59">
        <v>0.28799999999999998</v>
      </c>
      <c r="E59">
        <v>1.16535545606721E-4</v>
      </c>
      <c r="F59" t="s">
        <v>1101</v>
      </c>
      <c r="G59" t="s">
        <v>1102</v>
      </c>
      <c r="H59" t="s">
        <v>1101</v>
      </c>
      <c r="I59" t="str">
        <f>HYPERLINK("https://zfin.org/ZDB-GENE-030131-1334")</f>
        <v>https://zfin.org/ZDB-GENE-030131-1334</v>
      </c>
      <c r="J59" t="s">
        <v>1100</v>
      </c>
    </row>
    <row r="60" spans="1:10" x14ac:dyDescent="0.2">
      <c r="A60">
        <v>9.8352170678049706E-9</v>
      </c>
      <c r="B60">
        <v>0.49380525087803101</v>
      </c>
      <c r="C60">
        <v>0.85099999999999998</v>
      </c>
      <c r="D60">
        <v>0.77400000000000002</v>
      </c>
      <c r="E60">
        <v>1.5227866586082399E-4</v>
      </c>
      <c r="F60" t="s">
        <v>73</v>
      </c>
      <c r="G60" t="s">
        <v>74</v>
      </c>
      <c r="H60" t="s">
        <v>73</v>
      </c>
      <c r="I60" t="str">
        <f>HYPERLINK("https://zfin.org/ZDB-GENE-050522-73")</f>
        <v>https://zfin.org/ZDB-GENE-050522-73</v>
      </c>
      <c r="J60" t="s">
        <v>75</v>
      </c>
    </row>
    <row r="61" spans="1:10" x14ac:dyDescent="0.2">
      <c r="A61">
        <v>9.9730364410974292E-9</v>
      </c>
      <c r="B61">
        <v>0.51693319469183296</v>
      </c>
      <c r="C61">
        <v>0.68899999999999995</v>
      </c>
      <c r="D61">
        <v>0.46400000000000002</v>
      </c>
      <c r="E61">
        <v>1.54412523217512E-4</v>
      </c>
      <c r="F61" t="s">
        <v>1539</v>
      </c>
      <c r="G61" t="s">
        <v>1540</v>
      </c>
      <c r="H61" t="s">
        <v>1539</v>
      </c>
      <c r="I61" t="str">
        <f>HYPERLINK("https://zfin.org/ZDB-GENE-040912-46")</f>
        <v>https://zfin.org/ZDB-GENE-040912-46</v>
      </c>
      <c r="J61" t="s">
        <v>1538</v>
      </c>
    </row>
    <row r="62" spans="1:10" x14ac:dyDescent="0.2">
      <c r="A62">
        <v>1.2335053472741201E-8</v>
      </c>
      <c r="B62">
        <v>0.61507205893344397</v>
      </c>
      <c r="C62">
        <v>0.60199999999999998</v>
      </c>
      <c r="D62">
        <v>0.36699999999999999</v>
      </c>
      <c r="E62">
        <v>1.9098363291845201E-4</v>
      </c>
      <c r="F62" t="s">
        <v>2500</v>
      </c>
      <c r="G62" t="s">
        <v>2501</v>
      </c>
      <c r="H62" t="s">
        <v>2500</v>
      </c>
      <c r="I62" t="str">
        <f>HYPERLINK("https://zfin.org/ZDB-GENE-070112-1732")</f>
        <v>https://zfin.org/ZDB-GENE-070112-1732</v>
      </c>
      <c r="J62" t="s">
        <v>2499</v>
      </c>
    </row>
    <row r="63" spans="1:10" x14ac:dyDescent="0.2">
      <c r="A63">
        <v>1.24238808342605E-8</v>
      </c>
      <c r="B63">
        <v>0.51374023480185405</v>
      </c>
      <c r="C63">
        <v>0.66500000000000004</v>
      </c>
      <c r="D63">
        <v>0.39500000000000002</v>
      </c>
      <c r="E63">
        <v>1.92358946956855E-4</v>
      </c>
      <c r="F63" t="s">
        <v>1178</v>
      </c>
      <c r="G63" t="s">
        <v>1179</v>
      </c>
      <c r="H63" t="s">
        <v>1178</v>
      </c>
      <c r="I63" t="str">
        <f>HYPERLINK("https://zfin.org/ZDB-GENE-040426-1877")</f>
        <v>https://zfin.org/ZDB-GENE-040426-1877</v>
      </c>
      <c r="J63" t="s">
        <v>1177</v>
      </c>
    </row>
    <row r="64" spans="1:10" x14ac:dyDescent="0.2">
      <c r="A64">
        <v>1.58640839086913E-8</v>
      </c>
      <c r="B64">
        <v>0.32258972882554598</v>
      </c>
      <c r="C64">
        <v>0.97499999999999998</v>
      </c>
      <c r="D64">
        <v>0.94399999999999995</v>
      </c>
      <c r="E64">
        <v>2.4562361115826803E-4</v>
      </c>
      <c r="F64" t="s">
        <v>34</v>
      </c>
      <c r="G64" t="s">
        <v>35</v>
      </c>
      <c r="H64" t="s">
        <v>34</v>
      </c>
      <c r="I64" t="str">
        <f>HYPERLINK("https://zfin.org/ZDB-GENE-030131-3532")</f>
        <v>https://zfin.org/ZDB-GENE-030131-3532</v>
      </c>
      <c r="J64" t="s">
        <v>36</v>
      </c>
    </row>
    <row r="65" spans="1:10" x14ac:dyDescent="0.2">
      <c r="A65">
        <v>1.6392536450447699E-8</v>
      </c>
      <c r="B65">
        <v>0.47801177869922601</v>
      </c>
      <c r="C65">
        <v>0.69599999999999995</v>
      </c>
      <c r="D65">
        <v>0.42899999999999999</v>
      </c>
      <c r="E65">
        <v>2.53805641862281E-4</v>
      </c>
      <c r="F65" t="s">
        <v>3012</v>
      </c>
      <c r="G65" t="s">
        <v>3013</v>
      </c>
      <c r="H65" t="s">
        <v>3012</v>
      </c>
      <c r="I65" t="str">
        <f>HYPERLINK("https://zfin.org/ZDB-GENE-000616-13")</f>
        <v>https://zfin.org/ZDB-GENE-000616-13</v>
      </c>
      <c r="J65" t="s">
        <v>3011</v>
      </c>
    </row>
    <row r="66" spans="1:10" x14ac:dyDescent="0.2">
      <c r="A66">
        <v>1.6957892559117899E-8</v>
      </c>
      <c r="B66">
        <v>0.36706071803444301</v>
      </c>
      <c r="C66">
        <v>0.16800000000000001</v>
      </c>
      <c r="D66">
        <v>2.5000000000000001E-2</v>
      </c>
      <c r="E66">
        <v>2.6255905049282302E-4</v>
      </c>
      <c r="F66" t="s">
        <v>3009</v>
      </c>
      <c r="G66" t="s">
        <v>3010</v>
      </c>
      <c r="H66" t="s">
        <v>3009</v>
      </c>
      <c r="I66" t="str">
        <f>HYPERLINK("https://zfin.org/ZDB-GENE-030131-2376")</f>
        <v>https://zfin.org/ZDB-GENE-030131-2376</v>
      </c>
      <c r="J66" t="s">
        <v>3008</v>
      </c>
    </row>
    <row r="67" spans="1:10" x14ac:dyDescent="0.2">
      <c r="A67">
        <v>1.90505571247608E-8</v>
      </c>
      <c r="B67">
        <v>0.46705429721971697</v>
      </c>
      <c r="C67">
        <v>0.72699999999999998</v>
      </c>
      <c r="D67">
        <v>0.51100000000000001</v>
      </c>
      <c r="E67">
        <v>2.9495977596267098E-4</v>
      </c>
      <c r="F67" t="s">
        <v>2518</v>
      </c>
      <c r="G67" t="s">
        <v>2519</v>
      </c>
      <c r="H67" t="s">
        <v>2518</v>
      </c>
      <c r="I67" t="str">
        <f>HYPERLINK("https://zfin.org/ZDB-GENE-050419-45")</f>
        <v>https://zfin.org/ZDB-GENE-050419-45</v>
      </c>
      <c r="J67" t="s">
        <v>2517</v>
      </c>
    </row>
    <row r="68" spans="1:10" x14ac:dyDescent="0.2">
      <c r="A68">
        <v>2.3320473489035301E-8</v>
      </c>
      <c r="B68">
        <v>0.35210298628664599</v>
      </c>
      <c r="C68">
        <v>0.92500000000000004</v>
      </c>
      <c r="D68">
        <v>0.86199999999999999</v>
      </c>
      <c r="E68">
        <v>3.6107089103073402E-4</v>
      </c>
      <c r="F68" t="s">
        <v>162</v>
      </c>
      <c r="G68" t="s">
        <v>163</v>
      </c>
      <c r="H68" t="s">
        <v>162</v>
      </c>
      <c r="I68" t="str">
        <f>HYPERLINK("https://zfin.org/ZDB-GENE-050307-5")</f>
        <v>https://zfin.org/ZDB-GENE-050307-5</v>
      </c>
      <c r="J68" t="s">
        <v>164</v>
      </c>
    </row>
    <row r="69" spans="1:10" x14ac:dyDescent="0.2">
      <c r="A69">
        <v>2.3362296382660001E-8</v>
      </c>
      <c r="B69">
        <v>0.45212848284340301</v>
      </c>
      <c r="C69">
        <v>0.63400000000000001</v>
      </c>
      <c r="D69">
        <v>0.39200000000000002</v>
      </c>
      <c r="E69">
        <v>3.6171843489272499E-4</v>
      </c>
      <c r="F69" t="s">
        <v>3006</v>
      </c>
      <c r="G69" t="s">
        <v>3007</v>
      </c>
      <c r="H69" t="s">
        <v>3006</v>
      </c>
      <c r="I69" t="str">
        <f>HYPERLINK("https://zfin.org/ZDB-GENE-030131-8370")</f>
        <v>https://zfin.org/ZDB-GENE-030131-8370</v>
      </c>
      <c r="J69" t="s">
        <v>3005</v>
      </c>
    </row>
    <row r="70" spans="1:10" x14ac:dyDescent="0.2">
      <c r="A70">
        <v>2.5840987027247901E-8</v>
      </c>
      <c r="B70">
        <v>0.37714631595074299</v>
      </c>
      <c r="C70">
        <v>0.14899999999999999</v>
      </c>
      <c r="D70">
        <v>1.9E-2</v>
      </c>
      <c r="E70">
        <v>4.0009600214288002E-4</v>
      </c>
      <c r="F70" t="s">
        <v>2425</v>
      </c>
      <c r="G70" t="s">
        <v>2426</v>
      </c>
      <c r="H70" t="s">
        <v>2425</v>
      </c>
      <c r="I70" t="str">
        <f>HYPERLINK("https://zfin.org/ZDB-GENE-070820-6")</f>
        <v>https://zfin.org/ZDB-GENE-070820-6</v>
      </c>
      <c r="J70" t="s">
        <v>2424</v>
      </c>
    </row>
    <row r="71" spans="1:10" x14ac:dyDescent="0.2">
      <c r="A71">
        <v>2.6235365020339902E-8</v>
      </c>
      <c r="B71">
        <v>0.60374882200936897</v>
      </c>
      <c r="C71">
        <v>0.29799999999999999</v>
      </c>
      <c r="D71">
        <v>0.1</v>
      </c>
      <c r="E71">
        <v>4.0620215660992299E-4</v>
      </c>
      <c r="F71" t="s">
        <v>3003</v>
      </c>
      <c r="G71" t="s">
        <v>3004</v>
      </c>
      <c r="H71" t="s">
        <v>3003</v>
      </c>
      <c r="I71" t="str">
        <f>HYPERLINK("https://zfin.org/ZDB-GENE-040426-728")</f>
        <v>https://zfin.org/ZDB-GENE-040426-728</v>
      </c>
      <c r="J71" t="s">
        <v>3002</v>
      </c>
    </row>
    <row r="72" spans="1:10" x14ac:dyDescent="0.2">
      <c r="A72">
        <v>2.7601431457721499E-8</v>
      </c>
      <c r="B72">
        <v>0.65918394729658403</v>
      </c>
      <c r="C72">
        <v>0.18</v>
      </c>
      <c r="D72">
        <v>3.4000000000000002E-2</v>
      </c>
      <c r="E72">
        <v>4.2735296325990298E-4</v>
      </c>
      <c r="F72" t="s">
        <v>1671</v>
      </c>
      <c r="G72" t="s">
        <v>1672</v>
      </c>
      <c r="H72" t="s">
        <v>1671</v>
      </c>
      <c r="I72" t="str">
        <f>HYPERLINK("https://zfin.org/ZDB-GENE-131127-627")</f>
        <v>https://zfin.org/ZDB-GENE-131127-627</v>
      </c>
      <c r="J72" t="s">
        <v>1670</v>
      </c>
    </row>
    <row r="73" spans="1:10" x14ac:dyDescent="0.2">
      <c r="A73">
        <v>2.93586193423201E-8</v>
      </c>
      <c r="B73">
        <v>0.51097840207254397</v>
      </c>
      <c r="C73">
        <v>0.59</v>
      </c>
      <c r="D73">
        <v>0.32600000000000001</v>
      </c>
      <c r="E73">
        <v>4.5455950327714299E-4</v>
      </c>
      <c r="F73" t="s">
        <v>2470</v>
      </c>
      <c r="G73" t="s">
        <v>2471</v>
      </c>
      <c r="H73" t="s">
        <v>2470</v>
      </c>
      <c r="I73" t="str">
        <f>HYPERLINK("https://zfin.org/ZDB-GENE-120215-186")</f>
        <v>https://zfin.org/ZDB-GENE-120215-186</v>
      </c>
      <c r="J73" t="s">
        <v>2469</v>
      </c>
    </row>
    <row r="74" spans="1:10" x14ac:dyDescent="0.2">
      <c r="A74">
        <v>3.1782520803838701E-8</v>
      </c>
      <c r="B74">
        <v>0.49113567955480197</v>
      </c>
      <c r="C74">
        <v>0.84499999999999997</v>
      </c>
      <c r="D74">
        <v>0.69899999999999995</v>
      </c>
      <c r="E74">
        <v>4.9208876960583404E-4</v>
      </c>
      <c r="F74" t="s">
        <v>1274</v>
      </c>
      <c r="G74" t="s">
        <v>1275</v>
      </c>
      <c r="H74" t="s">
        <v>1274</v>
      </c>
      <c r="I74" t="str">
        <f>HYPERLINK("https://zfin.org/ZDB-GENE-031016-2")</f>
        <v>https://zfin.org/ZDB-GENE-031016-2</v>
      </c>
      <c r="J74" t="s">
        <v>1273</v>
      </c>
    </row>
    <row r="75" spans="1:10" x14ac:dyDescent="0.2">
      <c r="A75">
        <v>3.2478337092338403E-8</v>
      </c>
      <c r="B75">
        <v>0.48634356540420798</v>
      </c>
      <c r="C75">
        <v>0.48399999999999999</v>
      </c>
      <c r="D75">
        <v>0.251</v>
      </c>
      <c r="E75">
        <v>5.0286209320067599E-4</v>
      </c>
      <c r="F75" t="s">
        <v>3000</v>
      </c>
      <c r="G75" t="s">
        <v>3001</v>
      </c>
      <c r="H75" t="s">
        <v>3000</v>
      </c>
      <c r="I75" t="str">
        <f>HYPERLINK("https://zfin.org/ZDB-GENE-040426-2518")</f>
        <v>https://zfin.org/ZDB-GENE-040426-2518</v>
      </c>
      <c r="J75" t="s">
        <v>2999</v>
      </c>
    </row>
    <row r="76" spans="1:10" x14ac:dyDescent="0.2">
      <c r="A76">
        <v>3.5032021921544102E-8</v>
      </c>
      <c r="B76">
        <v>0.350053405383626</v>
      </c>
      <c r="C76">
        <v>0.155</v>
      </c>
      <c r="D76">
        <v>2.1999999999999999E-2</v>
      </c>
      <c r="E76">
        <v>5.4240079541126795E-4</v>
      </c>
      <c r="F76" t="s">
        <v>2997</v>
      </c>
      <c r="G76" t="s">
        <v>2998</v>
      </c>
      <c r="H76" t="s">
        <v>2997</v>
      </c>
      <c r="I76" t="str">
        <f>HYPERLINK("https://zfin.org/ZDB-GENE-090313-68")</f>
        <v>https://zfin.org/ZDB-GENE-090313-68</v>
      </c>
      <c r="J76" t="s">
        <v>2996</v>
      </c>
    </row>
    <row r="77" spans="1:10" x14ac:dyDescent="0.2">
      <c r="A77">
        <v>3.9869868044132498E-8</v>
      </c>
      <c r="B77">
        <v>0.38931408283962698</v>
      </c>
      <c r="C77">
        <v>0.89400000000000002</v>
      </c>
      <c r="D77">
        <v>0.752</v>
      </c>
      <c r="E77">
        <v>6.1730516692730397E-4</v>
      </c>
      <c r="F77" t="s">
        <v>237</v>
      </c>
      <c r="G77" t="s">
        <v>238</v>
      </c>
      <c r="H77" t="s">
        <v>237</v>
      </c>
      <c r="I77" t="str">
        <f>HYPERLINK("https://zfin.org/ZDB-GENE-040426-2931")</f>
        <v>https://zfin.org/ZDB-GENE-040426-2931</v>
      </c>
      <c r="J77" t="s">
        <v>239</v>
      </c>
    </row>
    <row r="78" spans="1:10" x14ac:dyDescent="0.2">
      <c r="A78">
        <v>4.6120188393683502E-8</v>
      </c>
      <c r="B78">
        <v>0.39335549107835299</v>
      </c>
      <c r="C78">
        <v>0.13</v>
      </c>
      <c r="D78">
        <v>1.2999999999999999E-2</v>
      </c>
      <c r="E78">
        <v>7.1407887689940198E-4</v>
      </c>
      <c r="F78" t="s">
        <v>2994</v>
      </c>
      <c r="G78" t="s">
        <v>2995</v>
      </c>
      <c r="H78" t="s">
        <v>2994</v>
      </c>
      <c r="I78" t="str">
        <f>HYPERLINK("https://zfin.org/")</f>
        <v>https://zfin.org/</v>
      </c>
      <c r="J78" t="s">
        <v>2993</v>
      </c>
    </row>
    <row r="79" spans="1:10" x14ac:dyDescent="0.2">
      <c r="A79">
        <v>4.6578678099830403E-8</v>
      </c>
      <c r="B79">
        <v>0.43478738034196901</v>
      </c>
      <c r="C79">
        <v>0.52200000000000002</v>
      </c>
      <c r="D79">
        <v>0.26600000000000001</v>
      </c>
      <c r="E79">
        <v>7.2117767301967497E-4</v>
      </c>
      <c r="F79" t="s">
        <v>1358</v>
      </c>
      <c r="G79" t="s">
        <v>1359</v>
      </c>
      <c r="H79" t="s">
        <v>1358</v>
      </c>
      <c r="I79" t="str">
        <f>HYPERLINK("https://zfin.org/ZDB-GENE-050417-174")</f>
        <v>https://zfin.org/ZDB-GENE-050417-174</v>
      </c>
      <c r="J79" t="s">
        <v>1357</v>
      </c>
    </row>
    <row r="80" spans="1:10" x14ac:dyDescent="0.2">
      <c r="A80">
        <v>4.8772183258193202E-8</v>
      </c>
      <c r="B80">
        <v>0.42909661698243201</v>
      </c>
      <c r="C80">
        <v>0.29199999999999998</v>
      </c>
      <c r="D80">
        <v>9.0999999999999998E-2</v>
      </c>
      <c r="E80">
        <v>7.5513971338660505E-4</v>
      </c>
      <c r="F80" t="s">
        <v>2533</v>
      </c>
      <c r="G80" t="s">
        <v>2534</v>
      </c>
      <c r="H80" t="s">
        <v>2533</v>
      </c>
      <c r="I80" t="str">
        <f>HYPERLINK("https://zfin.org/ZDB-GENE-080229-6")</f>
        <v>https://zfin.org/ZDB-GENE-080229-6</v>
      </c>
      <c r="J80" t="s">
        <v>2532</v>
      </c>
    </row>
    <row r="81" spans="1:10" x14ac:dyDescent="0.2">
      <c r="A81">
        <v>6.2485026605167197E-8</v>
      </c>
      <c r="B81">
        <v>0.36666526929719201</v>
      </c>
      <c r="C81">
        <v>0.20499999999999999</v>
      </c>
      <c r="D81">
        <v>4.7E-2</v>
      </c>
      <c r="E81">
        <v>9.6745566692780398E-4</v>
      </c>
      <c r="F81" t="s">
        <v>2991</v>
      </c>
      <c r="G81" t="s">
        <v>2992</v>
      </c>
      <c r="H81" t="s">
        <v>2991</v>
      </c>
      <c r="I81" t="str">
        <f>HYPERLINK("https://zfin.org/ZDB-GENE-081104-439")</f>
        <v>https://zfin.org/ZDB-GENE-081104-439</v>
      </c>
      <c r="J81" t="s">
        <v>2990</v>
      </c>
    </row>
    <row r="82" spans="1:10" x14ac:dyDescent="0.2">
      <c r="A82">
        <v>6.5661857200653205E-8</v>
      </c>
      <c r="B82">
        <v>0.36957721695930401</v>
      </c>
      <c r="C82">
        <v>0.14299999999999999</v>
      </c>
      <c r="D82">
        <v>1.9E-2</v>
      </c>
      <c r="E82">
        <v>1.01664253503771E-3</v>
      </c>
      <c r="F82" t="s">
        <v>2988</v>
      </c>
      <c r="G82" t="s">
        <v>2989</v>
      </c>
      <c r="H82" t="s">
        <v>2988</v>
      </c>
      <c r="I82" t="str">
        <f>HYPERLINK("https://zfin.org/ZDB-GENE-070912-411")</f>
        <v>https://zfin.org/ZDB-GENE-070912-411</v>
      </c>
      <c r="J82" t="s">
        <v>2987</v>
      </c>
    </row>
    <row r="83" spans="1:10" x14ac:dyDescent="0.2">
      <c r="A83">
        <v>8.5224937621067698E-8</v>
      </c>
      <c r="B83">
        <v>0.38451451488769101</v>
      </c>
      <c r="C83">
        <v>0.19900000000000001</v>
      </c>
      <c r="D83">
        <v>4.3999999999999997E-2</v>
      </c>
      <c r="E83">
        <v>1.3195377091869899E-3</v>
      </c>
      <c r="F83" t="s">
        <v>2985</v>
      </c>
      <c r="G83" t="s">
        <v>2986</v>
      </c>
      <c r="H83" t="s">
        <v>2985</v>
      </c>
      <c r="I83" t="str">
        <f>HYPERLINK("https://zfin.org/")</f>
        <v>https://zfin.org/</v>
      </c>
      <c r="J83" t="s">
        <v>2984</v>
      </c>
    </row>
    <row r="84" spans="1:10" x14ac:dyDescent="0.2">
      <c r="A84">
        <v>9.5288725754295395E-8</v>
      </c>
      <c r="B84">
        <v>0.39745376873253602</v>
      </c>
      <c r="C84">
        <v>0.70199999999999996</v>
      </c>
      <c r="D84">
        <v>0.436</v>
      </c>
      <c r="E84">
        <v>1.47535534085375E-3</v>
      </c>
      <c r="F84" t="s">
        <v>2806</v>
      </c>
      <c r="G84" t="s">
        <v>2807</v>
      </c>
      <c r="H84" t="s">
        <v>2806</v>
      </c>
      <c r="I84" t="str">
        <f>HYPERLINK("https://zfin.org/ZDB-GENE-030131-9446")</f>
        <v>https://zfin.org/ZDB-GENE-030131-9446</v>
      </c>
      <c r="J84" t="s">
        <v>2805</v>
      </c>
    </row>
    <row r="85" spans="1:10" x14ac:dyDescent="0.2">
      <c r="A85">
        <v>1.0894996550835E-7</v>
      </c>
      <c r="B85">
        <v>0.35607420673337797</v>
      </c>
      <c r="C85">
        <v>0.224</v>
      </c>
      <c r="D85">
        <v>5.6000000000000001E-2</v>
      </c>
      <c r="E85">
        <v>1.6868723159657901E-3</v>
      </c>
      <c r="F85" t="s">
        <v>2982</v>
      </c>
      <c r="G85" t="s">
        <v>2983</v>
      </c>
      <c r="H85" t="s">
        <v>2982</v>
      </c>
      <c r="I85" t="str">
        <f>HYPERLINK("https://zfin.org/ZDB-GENE-020402-4")</f>
        <v>https://zfin.org/ZDB-GENE-020402-4</v>
      </c>
      <c r="J85" t="s">
        <v>2981</v>
      </c>
    </row>
    <row r="86" spans="1:10" x14ac:dyDescent="0.2">
      <c r="A86">
        <v>1.29856984153144E-7</v>
      </c>
      <c r="B86">
        <v>0.440067434862911</v>
      </c>
      <c r="C86">
        <v>0.69599999999999995</v>
      </c>
      <c r="D86">
        <v>0.46400000000000002</v>
      </c>
      <c r="E86">
        <v>2.0105756856431201E-3</v>
      </c>
      <c r="F86" t="s">
        <v>1698</v>
      </c>
      <c r="G86" t="s">
        <v>1699</v>
      </c>
      <c r="H86" t="s">
        <v>1698</v>
      </c>
      <c r="I86" t="str">
        <f>HYPERLINK("https://zfin.org/ZDB-GENE-030131-1226")</f>
        <v>https://zfin.org/ZDB-GENE-030131-1226</v>
      </c>
      <c r="J86" t="s">
        <v>1697</v>
      </c>
    </row>
    <row r="87" spans="1:10" x14ac:dyDescent="0.2">
      <c r="A87">
        <v>1.3578598025540299E-7</v>
      </c>
      <c r="B87">
        <v>0.44923902987669601</v>
      </c>
      <c r="C87">
        <v>0.68300000000000005</v>
      </c>
      <c r="D87">
        <v>0.44800000000000001</v>
      </c>
      <c r="E87">
        <v>2.1023743322944001E-3</v>
      </c>
      <c r="F87" t="s">
        <v>1677</v>
      </c>
      <c r="G87" t="s">
        <v>1678</v>
      </c>
      <c r="H87" t="s">
        <v>1677</v>
      </c>
      <c r="I87" t="str">
        <f>HYPERLINK("https://zfin.org/ZDB-GENE-080204-124")</f>
        <v>https://zfin.org/ZDB-GENE-080204-124</v>
      </c>
      <c r="J87" t="s">
        <v>1676</v>
      </c>
    </row>
    <row r="88" spans="1:10" x14ac:dyDescent="0.2">
      <c r="A88">
        <v>1.3994184749003E-7</v>
      </c>
      <c r="B88">
        <v>0.270484139073215</v>
      </c>
      <c r="C88">
        <v>0.106</v>
      </c>
      <c r="D88">
        <v>6.0000000000000001E-3</v>
      </c>
      <c r="E88">
        <v>2.1667196246881399E-3</v>
      </c>
      <c r="F88" t="s">
        <v>2979</v>
      </c>
      <c r="G88" t="s">
        <v>2980</v>
      </c>
      <c r="H88" t="s">
        <v>2979</v>
      </c>
      <c r="I88" t="str">
        <f>HYPERLINK("https://zfin.org/ZDB-GENE-030131-4270")</f>
        <v>https://zfin.org/ZDB-GENE-030131-4270</v>
      </c>
      <c r="J88" t="s">
        <v>2978</v>
      </c>
    </row>
    <row r="89" spans="1:10" x14ac:dyDescent="0.2">
      <c r="A89">
        <v>1.6114069744788901E-7</v>
      </c>
      <c r="B89">
        <v>0.52148758615013802</v>
      </c>
      <c r="C89">
        <v>0.50900000000000001</v>
      </c>
      <c r="D89">
        <v>0.27</v>
      </c>
      <c r="E89">
        <v>2.4949414185856601E-3</v>
      </c>
      <c r="F89" t="s">
        <v>1316</v>
      </c>
      <c r="G89" t="s">
        <v>1317</v>
      </c>
      <c r="H89" t="s">
        <v>1316</v>
      </c>
      <c r="I89" t="str">
        <f>HYPERLINK("https://zfin.org/ZDB-GENE-090915-6")</f>
        <v>https://zfin.org/ZDB-GENE-090915-6</v>
      </c>
      <c r="J89" t="s">
        <v>1315</v>
      </c>
    </row>
    <row r="90" spans="1:10" x14ac:dyDescent="0.2">
      <c r="A90">
        <v>3.20791975895684E-7</v>
      </c>
      <c r="B90">
        <v>0.52761326900027605</v>
      </c>
      <c r="C90">
        <v>0.32900000000000001</v>
      </c>
      <c r="D90">
        <v>0.13200000000000001</v>
      </c>
      <c r="E90">
        <v>4.9668221627928799E-3</v>
      </c>
      <c r="F90" t="s">
        <v>2467</v>
      </c>
      <c r="G90" t="s">
        <v>2468</v>
      </c>
      <c r="H90" t="s">
        <v>2467</v>
      </c>
      <c r="I90" t="str">
        <f>HYPERLINK("https://zfin.org/ZDB-GENE-040912-141")</f>
        <v>https://zfin.org/ZDB-GENE-040912-141</v>
      </c>
      <c r="J90" t="s">
        <v>2466</v>
      </c>
    </row>
    <row r="91" spans="1:10" x14ac:dyDescent="0.2">
      <c r="A91">
        <v>3.54554005737731E-7</v>
      </c>
      <c r="B91">
        <v>0.52540318725564195</v>
      </c>
      <c r="C91">
        <v>0.45300000000000001</v>
      </c>
      <c r="D91">
        <v>0.22600000000000001</v>
      </c>
      <c r="E91">
        <v>5.48955967083729E-3</v>
      </c>
      <c r="F91" t="s">
        <v>1716</v>
      </c>
      <c r="G91" t="s">
        <v>1717</v>
      </c>
      <c r="H91" t="s">
        <v>1716</v>
      </c>
      <c r="I91" t="str">
        <f>HYPERLINK("https://zfin.org/ZDB-GENE-030131-3133")</f>
        <v>https://zfin.org/ZDB-GENE-030131-3133</v>
      </c>
      <c r="J91" t="s">
        <v>1715</v>
      </c>
    </row>
    <row r="92" spans="1:10" x14ac:dyDescent="0.2">
      <c r="A92">
        <v>3.5500368965767299E-7</v>
      </c>
      <c r="B92">
        <v>0.43184241429324499</v>
      </c>
      <c r="C92">
        <v>0.61499999999999999</v>
      </c>
      <c r="D92">
        <v>0.376</v>
      </c>
      <c r="E92">
        <v>5.49652212696975E-3</v>
      </c>
      <c r="F92" t="s">
        <v>2006</v>
      </c>
      <c r="G92" t="s">
        <v>2007</v>
      </c>
      <c r="H92" t="s">
        <v>2006</v>
      </c>
      <c r="I92" t="str">
        <f>HYPERLINK("https://zfin.org/ZDB-GENE-040718-175")</f>
        <v>https://zfin.org/ZDB-GENE-040718-175</v>
      </c>
      <c r="J92" t="s">
        <v>2005</v>
      </c>
    </row>
    <row r="93" spans="1:10" x14ac:dyDescent="0.2">
      <c r="A93">
        <v>3.9149368484882902E-7</v>
      </c>
      <c r="B93">
        <v>0.65928123500314395</v>
      </c>
      <c r="C93">
        <v>0.38500000000000001</v>
      </c>
      <c r="D93">
        <v>0.17899999999999999</v>
      </c>
      <c r="E93">
        <v>6.0614967225144202E-3</v>
      </c>
      <c r="F93" t="s">
        <v>2826</v>
      </c>
      <c r="G93" t="s">
        <v>2827</v>
      </c>
      <c r="H93" t="s">
        <v>2826</v>
      </c>
      <c r="I93" t="str">
        <f>HYPERLINK("https://zfin.org/ZDB-GENE-050320-36")</f>
        <v>https://zfin.org/ZDB-GENE-050320-36</v>
      </c>
      <c r="J93" t="s">
        <v>2825</v>
      </c>
    </row>
    <row r="94" spans="1:10" x14ac:dyDescent="0.2">
      <c r="A94">
        <v>4.1736501331025202E-7</v>
      </c>
      <c r="B94">
        <v>0.268513958482196</v>
      </c>
      <c r="C94">
        <v>0.98799999999999999</v>
      </c>
      <c r="D94">
        <v>0.94</v>
      </c>
      <c r="E94">
        <v>6.4620625010826296E-3</v>
      </c>
      <c r="F94" t="s">
        <v>168</v>
      </c>
      <c r="G94" t="s">
        <v>169</v>
      </c>
      <c r="H94" t="s">
        <v>168</v>
      </c>
      <c r="I94" t="str">
        <f>HYPERLINK("https://zfin.org/ZDB-GENE-030131-5475")</f>
        <v>https://zfin.org/ZDB-GENE-030131-5475</v>
      </c>
      <c r="J94" t="s">
        <v>170</v>
      </c>
    </row>
    <row r="95" spans="1:10" x14ac:dyDescent="0.2">
      <c r="A95">
        <v>4.33548916264471E-7</v>
      </c>
      <c r="B95">
        <v>0.48465271120467701</v>
      </c>
      <c r="C95">
        <v>0.67700000000000005</v>
      </c>
      <c r="D95">
        <v>0.47299999999999998</v>
      </c>
      <c r="E95">
        <v>6.7126378705228001E-3</v>
      </c>
      <c r="F95" t="s">
        <v>282</v>
      </c>
      <c r="G95" t="s">
        <v>283</v>
      </c>
      <c r="H95" t="s">
        <v>282</v>
      </c>
      <c r="I95" t="str">
        <f>HYPERLINK("https://zfin.org/ZDB-GENE-041114-138")</f>
        <v>https://zfin.org/ZDB-GENE-041114-138</v>
      </c>
      <c r="J95" t="s">
        <v>284</v>
      </c>
    </row>
    <row r="96" spans="1:10" x14ac:dyDescent="0.2">
      <c r="A96">
        <v>9.9353290329123399E-7</v>
      </c>
      <c r="B96">
        <v>0.40339507373924399</v>
      </c>
      <c r="C96">
        <v>0.70199999999999996</v>
      </c>
      <c r="D96">
        <v>0.51100000000000001</v>
      </c>
      <c r="E96">
        <v>1.53828699416582E-2</v>
      </c>
      <c r="F96" t="s">
        <v>2976</v>
      </c>
      <c r="G96" t="s">
        <v>2977</v>
      </c>
      <c r="H96" t="s">
        <v>2976</v>
      </c>
      <c r="I96" t="str">
        <f>HYPERLINK("https://zfin.org/ZDB-GENE-121214-209")</f>
        <v>https://zfin.org/ZDB-GENE-121214-209</v>
      </c>
      <c r="J96" t="s">
        <v>2975</v>
      </c>
    </row>
    <row r="97" spans="1:10" x14ac:dyDescent="0.2">
      <c r="A97">
        <v>1.0393289259196799E-6</v>
      </c>
      <c r="B97">
        <v>0.44248260211858498</v>
      </c>
      <c r="C97">
        <v>0.193</v>
      </c>
      <c r="D97">
        <v>5.2999999999999999E-2</v>
      </c>
      <c r="E97">
        <v>1.6091929760014299E-2</v>
      </c>
      <c r="F97" t="s">
        <v>2973</v>
      </c>
      <c r="G97" t="s">
        <v>2974</v>
      </c>
      <c r="H97" t="s">
        <v>2973</v>
      </c>
      <c r="I97" t="str">
        <f>HYPERLINK("https://zfin.org/ZDB-GENE-030131-8921")</f>
        <v>https://zfin.org/ZDB-GENE-030131-8921</v>
      </c>
      <c r="J97" t="s">
        <v>2972</v>
      </c>
    </row>
    <row r="98" spans="1:10" x14ac:dyDescent="0.2">
      <c r="A98">
        <v>1.21705214584476E-6</v>
      </c>
      <c r="B98">
        <v>0.40937796033712598</v>
      </c>
      <c r="C98">
        <v>0.28000000000000003</v>
      </c>
      <c r="D98">
        <v>0.107</v>
      </c>
      <c r="E98">
        <v>1.8843618374114399E-2</v>
      </c>
      <c r="F98" t="s">
        <v>2970</v>
      </c>
      <c r="G98" t="s">
        <v>2971</v>
      </c>
      <c r="H98" t="s">
        <v>2970</v>
      </c>
      <c r="I98" t="str">
        <f>HYPERLINK("https://zfin.org/ZDB-GENE-141212-262")</f>
        <v>https://zfin.org/ZDB-GENE-141212-262</v>
      </c>
      <c r="J98" t="s">
        <v>2969</v>
      </c>
    </row>
    <row r="99" spans="1:10" x14ac:dyDescent="0.2">
      <c r="A99">
        <v>1.4074485726796301E-6</v>
      </c>
      <c r="B99">
        <v>0.45205011486264601</v>
      </c>
      <c r="C99">
        <v>0.19900000000000001</v>
      </c>
      <c r="D99">
        <v>5.6000000000000001E-2</v>
      </c>
      <c r="E99">
        <v>2.17915262507988E-2</v>
      </c>
      <c r="F99" t="s">
        <v>2967</v>
      </c>
      <c r="G99" t="s">
        <v>2968</v>
      </c>
      <c r="H99" t="s">
        <v>2967</v>
      </c>
      <c r="I99" t="str">
        <f>HYPERLINK("https://zfin.org/ZDB-GENE-140819-1")</f>
        <v>https://zfin.org/ZDB-GENE-140819-1</v>
      </c>
      <c r="J99" t="s">
        <v>2966</v>
      </c>
    </row>
    <row r="100" spans="1:10" x14ac:dyDescent="0.2">
      <c r="A100">
        <v>1.4124917392387801E-6</v>
      </c>
      <c r="B100">
        <v>0.36271323144337803</v>
      </c>
      <c r="C100">
        <v>0.35399999999999998</v>
      </c>
      <c r="D100">
        <v>0.15</v>
      </c>
      <c r="E100">
        <v>2.1869609598634002E-2</v>
      </c>
      <c r="F100" t="s">
        <v>1653</v>
      </c>
      <c r="G100" t="s">
        <v>1654</v>
      </c>
      <c r="H100" t="s">
        <v>1653</v>
      </c>
      <c r="I100" t="str">
        <f>HYPERLINK("https://zfin.org/ZDB-GENE-040625-146")</f>
        <v>https://zfin.org/ZDB-GENE-040625-146</v>
      </c>
      <c r="J100" t="s">
        <v>1652</v>
      </c>
    </row>
    <row r="101" spans="1:10" x14ac:dyDescent="0.2">
      <c r="A101">
        <v>1.65940817723948E-6</v>
      </c>
      <c r="B101">
        <v>0.37513452490837002</v>
      </c>
      <c r="C101">
        <v>0.40400000000000003</v>
      </c>
      <c r="D101">
        <v>0.188</v>
      </c>
      <c r="E101">
        <v>2.5692616808198902E-2</v>
      </c>
      <c r="F101" t="s">
        <v>2964</v>
      </c>
      <c r="G101" t="s">
        <v>2965</v>
      </c>
      <c r="H101" t="s">
        <v>2964</v>
      </c>
      <c r="I101" t="str">
        <f>HYPERLINK("https://zfin.org/ZDB-GENE-041212-69")</f>
        <v>https://zfin.org/ZDB-GENE-041212-69</v>
      </c>
      <c r="J101" t="s">
        <v>2963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FEF40-3E39-B54F-A7AD-2A879CAA61D2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8.33203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2.0892677261145999E-30</v>
      </c>
      <c r="B2">
        <v>-1.8427449934531801</v>
      </c>
      <c r="C2">
        <v>9.9000000000000005E-2</v>
      </c>
      <c r="D2">
        <v>0.63900000000000001</v>
      </c>
      <c r="E2">
        <v>3.2348132203432402E-26</v>
      </c>
      <c r="F2" t="s">
        <v>1337</v>
      </c>
      <c r="G2" t="s">
        <v>1338</v>
      </c>
      <c r="H2" t="s">
        <v>1337</v>
      </c>
      <c r="I2" t="str">
        <f>HYPERLINK("https://zfin.org/ZDB-GENE-110411-139")</f>
        <v>https://zfin.org/ZDB-GENE-110411-139</v>
      </c>
      <c r="J2" t="s">
        <v>1336</v>
      </c>
    </row>
    <row r="3" spans="1:10" x14ac:dyDescent="0.2">
      <c r="A3">
        <v>1.19004083014106E-29</v>
      </c>
      <c r="B3">
        <v>-0.43978998277877202</v>
      </c>
      <c r="C3">
        <v>1</v>
      </c>
      <c r="D3">
        <v>0.997</v>
      </c>
      <c r="E3">
        <v>1.84254021730741E-25</v>
      </c>
      <c r="F3" t="s">
        <v>231</v>
      </c>
      <c r="G3" t="s">
        <v>232</v>
      </c>
      <c r="H3" t="s">
        <v>231</v>
      </c>
      <c r="I3" t="str">
        <f>HYPERLINK("https://zfin.org/ZDB-GENE-030131-7528")</f>
        <v>https://zfin.org/ZDB-GENE-030131-7528</v>
      </c>
      <c r="J3" t="s">
        <v>233</v>
      </c>
    </row>
    <row r="4" spans="1:10" x14ac:dyDescent="0.2">
      <c r="A4">
        <v>2.7449966384840698E-28</v>
      </c>
      <c r="B4">
        <v>-0.46027105289622</v>
      </c>
      <c r="C4">
        <v>0.99399999999999999</v>
      </c>
      <c r="D4">
        <v>1</v>
      </c>
      <c r="E4">
        <v>4.2500782953648902E-24</v>
      </c>
      <c r="F4" t="s">
        <v>159</v>
      </c>
      <c r="G4" t="s">
        <v>160</v>
      </c>
      <c r="H4" t="s">
        <v>159</v>
      </c>
      <c r="I4" t="str">
        <f>HYPERLINK("https://zfin.org/ZDB-GENE-030131-8663")</f>
        <v>https://zfin.org/ZDB-GENE-030131-8663</v>
      </c>
      <c r="J4" t="s">
        <v>161</v>
      </c>
    </row>
    <row r="5" spans="1:10" x14ac:dyDescent="0.2">
      <c r="A5">
        <v>2.6476255697585298E-19</v>
      </c>
      <c r="B5">
        <v>-0.38360161525403003</v>
      </c>
      <c r="C5">
        <v>0.98799999999999999</v>
      </c>
      <c r="D5">
        <v>0.99099999999999999</v>
      </c>
      <c r="E5">
        <v>4.0993186696571302E-15</v>
      </c>
      <c r="F5" t="s">
        <v>1050</v>
      </c>
      <c r="G5" t="s">
        <v>1051</v>
      </c>
      <c r="H5" t="s">
        <v>1050</v>
      </c>
      <c r="I5" t="str">
        <f>HYPERLINK("https://zfin.org/ZDB-GENE-040426-1716")</f>
        <v>https://zfin.org/ZDB-GENE-040426-1716</v>
      </c>
      <c r="J5" t="s">
        <v>1049</v>
      </c>
    </row>
    <row r="6" spans="1:10" x14ac:dyDescent="0.2">
      <c r="A6">
        <v>3.6208608584180398E-19</v>
      </c>
      <c r="B6">
        <v>-0.43007759479603003</v>
      </c>
      <c r="C6">
        <v>0.98799999999999999</v>
      </c>
      <c r="D6">
        <v>0.99099999999999999</v>
      </c>
      <c r="E6">
        <v>5.6061788670886498E-15</v>
      </c>
      <c r="F6" t="s">
        <v>255</v>
      </c>
      <c r="G6" t="s">
        <v>256</v>
      </c>
      <c r="H6" t="s">
        <v>255</v>
      </c>
      <c r="I6" t="str">
        <f>HYPERLINK("https://zfin.org/ZDB-GENE-030131-2022")</f>
        <v>https://zfin.org/ZDB-GENE-030131-2022</v>
      </c>
      <c r="J6" t="s">
        <v>257</v>
      </c>
    </row>
    <row r="7" spans="1:10" x14ac:dyDescent="0.2">
      <c r="A7">
        <v>3.1640184819077298E-18</v>
      </c>
      <c r="B7">
        <v>-0.36891930758033098</v>
      </c>
      <c r="C7">
        <v>0.99399999999999999</v>
      </c>
      <c r="D7">
        <v>1</v>
      </c>
      <c r="E7">
        <v>4.8988498155377503E-14</v>
      </c>
      <c r="F7" t="s">
        <v>1058</v>
      </c>
      <c r="G7" t="s">
        <v>1057</v>
      </c>
      <c r="H7" t="s">
        <v>1056</v>
      </c>
      <c r="I7" t="str">
        <f>HYPERLINK("https://zfin.org/ZDB-GENE-040625-39")</f>
        <v>https://zfin.org/ZDB-GENE-040625-39</v>
      </c>
      <c r="J7" t="s">
        <v>1055</v>
      </c>
    </row>
    <row r="8" spans="1:10" x14ac:dyDescent="0.2">
      <c r="A8">
        <v>3.1997408825341601E-16</v>
      </c>
      <c r="B8">
        <v>-1.11573447523586</v>
      </c>
      <c r="C8">
        <v>0.248</v>
      </c>
      <c r="D8">
        <v>0.59199999999999997</v>
      </c>
      <c r="E8">
        <v>4.95415880842763E-12</v>
      </c>
      <c r="F8" t="s">
        <v>1906</v>
      </c>
      <c r="G8" t="s">
        <v>1907</v>
      </c>
      <c r="H8" t="s">
        <v>1906</v>
      </c>
      <c r="I8" t="str">
        <f>HYPERLINK("https://zfin.org/ZDB-GENE-980526-416")</f>
        <v>https://zfin.org/ZDB-GENE-980526-416</v>
      </c>
      <c r="J8" t="s">
        <v>1905</v>
      </c>
    </row>
    <row r="9" spans="1:10" x14ac:dyDescent="0.2">
      <c r="A9">
        <v>5.1257610028564303E-16</v>
      </c>
      <c r="B9">
        <v>-0.395094973714123</v>
      </c>
      <c r="C9">
        <v>0.98099999999999998</v>
      </c>
      <c r="D9">
        <v>0.99099999999999999</v>
      </c>
      <c r="E9">
        <v>7.9362157607226101E-12</v>
      </c>
      <c r="F9" t="s">
        <v>291</v>
      </c>
      <c r="G9" t="s">
        <v>292</v>
      </c>
      <c r="H9" t="s">
        <v>291</v>
      </c>
      <c r="I9" t="str">
        <f>HYPERLINK("https://zfin.org/ZDB-GENE-070327-2")</f>
        <v>https://zfin.org/ZDB-GENE-070327-2</v>
      </c>
      <c r="J9" t="s">
        <v>293</v>
      </c>
    </row>
    <row r="10" spans="1:10" x14ac:dyDescent="0.2">
      <c r="A10">
        <v>7.7485683902901903E-16</v>
      </c>
      <c r="B10">
        <v>-0.73570763963074404</v>
      </c>
      <c r="C10">
        <v>0.82</v>
      </c>
      <c r="D10">
        <v>0.90600000000000003</v>
      </c>
      <c r="E10">
        <v>1.19971084386863E-11</v>
      </c>
      <c r="F10" t="s">
        <v>79</v>
      </c>
      <c r="G10" t="s">
        <v>80</v>
      </c>
      <c r="H10" t="s">
        <v>79</v>
      </c>
      <c r="I10" t="str">
        <f>HYPERLINK("https://zfin.org/ZDB-GENE-061111-1")</f>
        <v>https://zfin.org/ZDB-GENE-061111-1</v>
      </c>
      <c r="J10" t="s">
        <v>81</v>
      </c>
    </row>
    <row r="11" spans="1:10" x14ac:dyDescent="0.2">
      <c r="A11">
        <v>2.70283164565306E-15</v>
      </c>
      <c r="B11">
        <v>-0.35348276614142399</v>
      </c>
      <c r="C11">
        <v>0.99399999999999999</v>
      </c>
      <c r="D11">
        <v>1</v>
      </c>
      <c r="E11">
        <v>4.1847942369646301E-11</v>
      </c>
      <c r="F11" t="s">
        <v>1026</v>
      </c>
      <c r="G11" t="s">
        <v>1027</v>
      </c>
      <c r="H11" t="s">
        <v>1026</v>
      </c>
      <c r="I11" t="str">
        <f>HYPERLINK("https://zfin.org/ZDB-GENE-040426-2284")</f>
        <v>https://zfin.org/ZDB-GENE-040426-2284</v>
      </c>
      <c r="J11" t="s">
        <v>1025</v>
      </c>
    </row>
    <row r="12" spans="1:10" x14ac:dyDescent="0.2">
      <c r="A12">
        <v>2.7706707024408402E-15</v>
      </c>
      <c r="B12">
        <v>-0.40505850363124601</v>
      </c>
      <c r="C12">
        <v>0.96899999999999997</v>
      </c>
      <c r="D12">
        <v>0.98099999999999998</v>
      </c>
      <c r="E12">
        <v>4.28982944858915E-11</v>
      </c>
      <c r="F12" t="s">
        <v>1044</v>
      </c>
      <c r="G12" t="s">
        <v>1045</v>
      </c>
      <c r="H12" t="s">
        <v>1044</v>
      </c>
      <c r="I12" t="str">
        <f>HYPERLINK("https://zfin.org/ZDB-GENE-040426-811")</f>
        <v>https://zfin.org/ZDB-GENE-040426-811</v>
      </c>
      <c r="J12" t="s">
        <v>1043</v>
      </c>
    </row>
    <row r="13" spans="1:10" x14ac:dyDescent="0.2">
      <c r="A13">
        <v>4.7123568639187301E-15</v>
      </c>
      <c r="B13">
        <v>-0.44295744500814299</v>
      </c>
      <c r="C13">
        <v>0.93200000000000005</v>
      </c>
      <c r="D13">
        <v>0.98399999999999999</v>
      </c>
      <c r="E13">
        <v>7.29614213240536E-11</v>
      </c>
      <c r="F13" t="s">
        <v>1035</v>
      </c>
      <c r="G13" t="s">
        <v>1036</v>
      </c>
      <c r="H13" t="s">
        <v>1035</v>
      </c>
      <c r="I13" t="str">
        <f>HYPERLINK("https://zfin.org/ZDB-GENE-040622-5")</f>
        <v>https://zfin.org/ZDB-GENE-040622-5</v>
      </c>
      <c r="J13" t="s">
        <v>1034</v>
      </c>
    </row>
    <row r="14" spans="1:10" x14ac:dyDescent="0.2">
      <c r="A14">
        <v>1.03486473797104E-14</v>
      </c>
      <c r="B14">
        <v>-0.34881085785274302</v>
      </c>
      <c r="C14">
        <v>1</v>
      </c>
      <c r="D14">
        <v>0.99399999999999999</v>
      </c>
      <c r="E14">
        <v>1.6022810738005599E-10</v>
      </c>
      <c r="F14" t="s">
        <v>258</v>
      </c>
      <c r="G14" t="s">
        <v>259</v>
      </c>
      <c r="H14" t="s">
        <v>258</v>
      </c>
      <c r="I14" t="str">
        <f>HYPERLINK("https://zfin.org/ZDB-GENE-040622-2")</f>
        <v>https://zfin.org/ZDB-GENE-040622-2</v>
      </c>
      <c r="J14" t="s">
        <v>260</v>
      </c>
    </row>
    <row r="15" spans="1:10" x14ac:dyDescent="0.2">
      <c r="A15">
        <v>3.7401396719370601E-14</v>
      </c>
      <c r="B15">
        <v>-0.34335144092080799</v>
      </c>
      <c r="C15">
        <v>0.98099999999999998</v>
      </c>
      <c r="D15">
        <v>0.99099999999999999</v>
      </c>
      <c r="E15">
        <v>5.7908582540601605E-10</v>
      </c>
      <c r="F15" t="s">
        <v>267</v>
      </c>
      <c r="G15" t="s">
        <v>268</v>
      </c>
      <c r="H15" t="s">
        <v>267</v>
      </c>
      <c r="I15" t="str">
        <f>HYPERLINK("https://zfin.org/ZDB-GENE-040801-165")</f>
        <v>https://zfin.org/ZDB-GENE-040801-165</v>
      </c>
      <c r="J15" t="s">
        <v>269</v>
      </c>
    </row>
    <row r="16" spans="1:10" x14ac:dyDescent="0.2">
      <c r="A16">
        <v>4.9869314935495099E-14</v>
      </c>
      <c r="B16">
        <v>-0.457006890862795</v>
      </c>
      <c r="C16">
        <v>0.87</v>
      </c>
      <c r="D16">
        <v>0.96199999999999997</v>
      </c>
      <c r="E16">
        <v>7.7212660314627095E-10</v>
      </c>
      <c r="F16" t="s">
        <v>945</v>
      </c>
      <c r="G16" t="s">
        <v>946</v>
      </c>
      <c r="H16" t="s">
        <v>945</v>
      </c>
      <c r="I16" t="str">
        <f>HYPERLINK("https://zfin.org/ZDB-GENE-030131-8631")</f>
        <v>https://zfin.org/ZDB-GENE-030131-8631</v>
      </c>
      <c r="J16" t="s">
        <v>944</v>
      </c>
    </row>
    <row r="17" spans="1:10" x14ac:dyDescent="0.2">
      <c r="A17">
        <v>6.3726706969942105E-14</v>
      </c>
      <c r="B17">
        <v>-0.37830583152476399</v>
      </c>
      <c r="C17">
        <v>0.93799999999999994</v>
      </c>
      <c r="D17">
        <v>0.97799999999999998</v>
      </c>
      <c r="E17">
        <v>9.8668060401561294E-10</v>
      </c>
      <c r="F17" t="s">
        <v>285</v>
      </c>
      <c r="G17" t="s">
        <v>286</v>
      </c>
      <c r="H17" t="s">
        <v>285</v>
      </c>
      <c r="I17" t="str">
        <f>HYPERLINK("https://zfin.org/ZDB-GENE-030131-8626")</f>
        <v>https://zfin.org/ZDB-GENE-030131-8626</v>
      </c>
      <c r="J17" t="s">
        <v>287</v>
      </c>
    </row>
    <row r="18" spans="1:10" x14ac:dyDescent="0.2">
      <c r="A18">
        <v>1.71661868719054E-13</v>
      </c>
      <c r="B18">
        <v>-0.40319281637927101</v>
      </c>
      <c r="C18">
        <v>0.88800000000000001</v>
      </c>
      <c r="D18">
        <v>0.96199999999999997</v>
      </c>
      <c r="E18">
        <v>2.65784071337712E-9</v>
      </c>
      <c r="F18" t="s">
        <v>963</v>
      </c>
      <c r="G18" t="s">
        <v>964</v>
      </c>
      <c r="H18" t="s">
        <v>963</v>
      </c>
      <c r="I18" t="str">
        <f>HYPERLINK("https://zfin.org/ZDB-GENE-030131-9184")</f>
        <v>https://zfin.org/ZDB-GENE-030131-9184</v>
      </c>
      <c r="J18" t="s">
        <v>962</v>
      </c>
    </row>
    <row r="19" spans="1:10" x14ac:dyDescent="0.2">
      <c r="A19">
        <v>8.2103695823266798E-13</v>
      </c>
      <c r="B19">
        <v>-0.34205415914422799</v>
      </c>
      <c r="C19">
        <v>0.93799999999999994</v>
      </c>
      <c r="D19">
        <v>0.98099999999999998</v>
      </c>
      <c r="E19">
        <v>1.27121152243164E-8</v>
      </c>
      <c r="F19" t="s">
        <v>924</v>
      </c>
      <c r="G19" t="s">
        <v>925</v>
      </c>
      <c r="H19" t="s">
        <v>924</v>
      </c>
      <c r="I19" t="str">
        <f>HYPERLINK("https://zfin.org/ZDB-GENE-040801-183")</f>
        <v>https://zfin.org/ZDB-GENE-040801-183</v>
      </c>
      <c r="J19" t="s">
        <v>923</v>
      </c>
    </row>
    <row r="20" spans="1:10" x14ac:dyDescent="0.2">
      <c r="A20">
        <v>8.2164052623854002E-13</v>
      </c>
      <c r="B20">
        <v>-0.35569950787148003</v>
      </c>
      <c r="C20">
        <v>0.96299999999999997</v>
      </c>
      <c r="D20">
        <v>0.98699999999999999</v>
      </c>
      <c r="E20">
        <v>1.27214602677513E-8</v>
      </c>
      <c r="F20" t="s">
        <v>1032</v>
      </c>
      <c r="G20" t="s">
        <v>1033</v>
      </c>
      <c r="H20" t="s">
        <v>1032</v>
      </c>
      <c r="I20" t="str">
        <f>HYPERLINK("https://zfin.org/ZDB-GENE-030131-8951")</f>
        <v>https://zfin.org/ZDB-GENE-030131-8951</v>
      </c>
      <c r="J20" t="s">
        <v>1031</v>
      </c>
    </row>
    <row r="21" spans="1:10" x14ac:dyDescent="0.2">
      <c r="A21">
        <v>1.07284451661615E-12</v>
      </c>
      <c r="B21">
        <v>-0.36504149425896998</v>
      </c>
      <c r="C21">
        <v>0.91900000000000004</v>
      </c>
      <c r="D21">
        <v>0.97499999999999998</v>
      </c>
      <c r="E21">
        <v>1.6610851650767801E-8</v>
      </c>
      <c r="F21" t="s">
        <v>240</v>
      </c>
      <c r="G21" t="s">
        <v>241</v>
      </c>
      <c r="H21" t="s">
        <v>240</v>
      </c>
      <c r="I21" t="str">
        <f>HYPERLINK("https://zfin.org/ZDB-GENE-040718-190")</f>
        <v>https://zfin.org/ZDB-GENE-040718-190</v>
      </c>
      <c r="J21" t="s">
        <v>242</v>
      </c>
    </row>
    <row r="22" spans="1:10" x14ac:dyDescent="0.2">
      <c r="A22">
        <v>1.2958440652419399E-12</v>
      </c>
      <c r="B22">
        <v>-0.96617613784341105</v>
      </c>
      <c r="C22">
        <v>6.2E-2</v>
      </c>
      <c r="D22">
        <v>0.35699999999999998</v>
      </c>
      <c r="E22">
        <v>2.0063553662141001E-8</v>
      </c>
      <c r="F22" t="s">
        <v>1211</v>
      </c>
      <c r="G22" t="s">
        <v>1212</v>
      </c>
      <c r="H22" t="s">
        <v>1211</v>
      </c>
      <c r="I22" t="str">
        <f>HYPERLINK("https://zfin.org/ZDB-GENE-131127-337")</f>
        <v>https://zfin.org/ZDB-GENE-131127-337</v>
      </c>
      <c r="J22" t="s">
        <v>1210</v>
      </c>
    </row>
    <row r="23" spans="1:10" x14ac:dyDescent="0.2">
      <c r="A23">
        <v>1.86966022754225E-12</v>
      </c>
      <c r="B23">
        <v>-0.31758322231559299</v>
      </c>
      <c r="C23">
        <v>0.96899999999999997</v>
      </c>
      <c r="D23">
        <v>0.99099999999999999</v>
      </c>
      <c r="E23">
        <v>2.89479493030367E-8</v>
      </c>
      <c r="F23" t="s">
        <v>288</v>
      </c>
      <c r="G23" t="s">
        <v>289</v>
      </c>
      <c r="H23" t="s">
        <v>288</v>
      </c>
      <c r="I23" t="str">
        <f>HYPERLINK("https://zfin.org/ZDB-GENE-030131-8708")</f>
        <v>https://zfin.org/ZDB-GENE-030131-8708</v>
      </c>
      <c r="J23" t="s">
        <v>290</v>
      </c>
    </row>
    <row r="24" spans="1:10" x14ac:dyDescent="0.2">
      <c r="A24">
        <v>3.8821546073647099E-12</v>
      </c>
      <c r="B24">
        <v>-0.29971294880062499</v>
      </c>
      <c r="C24">
        <v>0.99399999999999999</v>
      </c>
      <c r="D24">
        <v>0.997</v>
      </c>
      <c r="E24">
        <v>6.0107399785827804E-8</v>
      </c>
      <c r="F24" t="s">
        <v>216</v>
      </c>
      <c r="G24" t="s">
        <v>217</v>
      </c>
      <c r="H24" t="s">
        <v>216</v>
      </c>
      <c r="I24" t="str">
        <f>HYPERLINK("https://zfin.org/ZDB-GENE-040625-147")</f>
        <v>https://zfin.org/ZDB-GENE-040625-147</v>
      </c>
      <c r="J24" t="s">
        <v>218</v>
      </c>
    </row>
    <row r="25" spans="1:10" x14ac:dyDescent="0.2">
      <c r="A25">
        <v>4.0601885727940998E-12</v>
      </c>
      <c r="B25">
        <v>-0.719394924334534</v>
      </c>
      <c r="C25">
        <v>0.32900000000000001</v>
      </c>
      <c r="D25">
        <v>0.627</v>
      </c>
      <c r="E25">
        <v>6.2863899672571097E-8</v>
      </c>
      <c r="F25" t="s">
        <v>733</v>
      </c>
      <c r="G25" t="s">
        <v>734</v>
      </c>
      <c r="H25" t="s">
        <v>733</v>
      </c>
      <c r="I25" t="str">
        <f>HYPERLINK("https://zfin.org/ZDB-GENE-080723-23")</f>
        <v>https://zfin.org/ZDB-GENE-080723-23</v>
      </c>
      <c r="J25" t="s">
        <v>732</v>
      </c>
    </row>
    <row r="26" spans="1:10" x14ac:dyDescent="0.2">
      <c r="A26">
        <v>6.0407526440637997E-12</v>
      </c>
      <c r="B26">
        <v>-0.29060909796449702</v>
      </c>
      <c r="C26">
        <v>0.99399999999999999</v>
      </c>
      <c r="D26">
        <v>0.98399999999999999</v>
      </c>
      <c r="E26">
        <v>9.3528973188039803E-8</v>
      </c>
      <c r="F26" t="s">
        <v>207</v>
      </c>
      <c r="G26" t="s">
        <v>208</v>
      </c>
      <c r="H26" t="s">
        <v>207</v>
      </c>
      <c r="I26" t="str">
        <f>HYPERLINK("https://zfin.org/ZDB-GENE-040426-1033")</f>
        <v>https://zfin.org/ZDB-GENE-040426-1033</v>
      </c>
      <c r="J26" t="s">
        <v>209</v>
      </c>
    </row>
    <row r="27" spans="1:10" x14ac:dyDescent="0.2">
      <c r="A27">
        <v>7.7940818339803506E-12</v>
      </c>
      <c r="B27">
        <v>-0.36273406684693499</v>
      </c>
      <c r="C27">
        <v>0.90700000000000003</v>
      </c>
      <c r="D27">
        <v>0.96599999999999997</v>
      </c>
      <c r="E27">
        <v>1.2067576903551799E-7</v>
      </c>
      <c r="F27" t="s">
        <v>276</v>
      </c>
      <c r="G27" t="s">
        <v>277</v>
      </c>
      <c r="H27" t="s">
        <v>276</v>
      </c>
      <c r="I27" t="str">
        <f>HYPERLINK("https://zfin.org/ZDB-GENE-020419-2")</f>
        <v>https://zfin.org/ZDB-GENE-020419-2</v>
      </c>
      <c r="J27" t="s">
        <v>278</v>
      </c>
    </row>
    <row r="28" spans="1:10" x14ac:dyDescent="0.2">
      <c r="A28">
        <v>1.0567144316597001E-11</v>
      </c>
      <c r="B28">
        <v>-0.303764187980818</v>
      </c>
      <c r="C28">
        <v>0.96899999999999997</v>
      </c>
      <c r="D28">
        <v>0.98399999999999999</v>
      </c>
      <c r="E28">
        <v>1.6361109545387201E-7</v>
      </c>
      <c r="F28" t="s">
        <v>987</v>
      </c>
      <c r="G28" t="s">
        <v>988</v>
      </c>
      <c r="H28" t="s">
        <v>987</v>
      </c>
      <c r="I28" t="str">
        <f>HYPERLINK("https://zfin.org/ZDB-GENE-060331-105")</f>
        <v>https://zfin.org/ZDB-GENE-060331-105</v>
      </c>
      <c r="J28" t="s">
        <v>986</v>
      </c>
    </row>
    <row r="29" spans="1:10" x14ac:dyDescent="0.2">
      <c r="A29">
        <v>1.2732201983097801E-11</v>
      </c>
      <c r="B29">
        <v>-1.0403322307376499</v>
      </c>
      <c r="C29">
        <v>0.28000000000000003</v>
      </c>
      <c r="D29">
        <v>0.54900000000000004</v>
      </c>
      <c r="E29">
        <v>1.9713268330430401E-7</v>
      </c>
      <c r="F29" t="s">
        <v>1473</v>
      </c>
      <c r="G29" t="s">
        <v>1474</v>
      </c>
      <c r="H29" t="s">
        <v>1473</v>
      </c>
      <c r="I29" t="str">
        <f>HYPERLINK("https://zfin.org/ZDB-GENE-080917-47")</f>
        <v>https://zfin.org/ZDB-GENE-080917-47</v>
      </c>
      <c r="J29" t="s">
        <v>1472</v>
      </c>
    </row>
    <row r="30" spans="1:10" x14ac:dyDescent="0.2">
      <c r="A30">
        <v>2.3754970823611601E-11</v>
      </c>
      <c r="B30">
        <v>-1.11546828353196</v>
      </c>
      <c r="C30">
        <v>5.6000000000000001E-2</v>
      </c>
      <c r="D30">
        <v>0.32</v>
      </c>
      <c r="E30">
        <v>3.6779821326197901E-7</v>
      </c>
      <c r="F30" t="s">
        <v>1936</v>
      </c>
      <c r="G30" t="s">
        <v>1937</v>
      </c>
      <c r="H30" t="s">
        <v>1936</v>
      </c>
      <c r="I30" t="str">
        <f>HYPERLINK("https://zfin.org/ZDB-GENE-041010-89")</f>
        <v>https://zfin.org/ZDB-GENE-041010-89</v>
      </c>
      <c r="J30" t="s">
        <v>1935</v>
      </c>
    </row>
    <row r="31" spans="1:10" x14ac:dyDescent="0.2">
      <c r="A31">
        <v>4.5405907068032998E-11</v>
      </c>
      <c r="B31">
        <v>-0.33331289370516198</v>
      </c>
      <c r="C31">
        <v>0.95699999999999996</v>
      </c>
      <c r="D31">
        <v>0.95</v>
      </c>
      <c r="E31">
        <v>7.0301965913435397E-7</v>
      </c>
      <c r="F31" t="s">
        <v>1041</v>
      </c>
      <c r="G31" t="s">
        <v>1042</v>
      </c>
      <c r="H31" t="s">
        <v>1041</v>
      </c>
      <c r="I31" t="str">
        <f>HYPERLINK("https://zfin.org/ZDB-GENE-040426-1102")</f>
        <v>https://zfin.org/ZDB-GENE-040426-1102</v>
      </c>
      <c r="J31" t="s">
        <v>1040</v>
      </c>
    </row>
    <row r="32" spans="1:10" x14ac:dyDescent="0.2">
      <c r="A32">
        <v>7.6801108173093103E-11</v>
      </c>
      <c r="B32">
        <v>-0.35314046545609501</v>
      </c>
      <c r="C32">
        <v>0.93799999999999994</v>
      </c>
      <c r="D32">
        <v>0.96899999999999997</v>
      </c>
      <c r="E32">
        <v>1.189111557844E-6</v>
      </c>
      <c r="F32" t="s">
        <v>1023</v>
      </c>
      <c r="G32" t="s">
        <v>1024</v>
      </c>
      <c r="H32" t="s">
        <v>1023</v>
      </c>
      <c r="I32" t="str">
        <f>HYPERLINK("https://zfin.org/ZDB-GENE-040625-52")</f>
        <v>https://zfin.org/ZDB-GENE-040625-52</v>
      </c>
      <c r="J32" t="s">
        <v>1022</v>
      </c>
    </row>
    <row r="33" spans="1:10" x14ac:dyDescent="0.2">
      <c r="A33">
        <v>9.3142380460507995E-11</v>
      </c>
      <c r="B33">
        <v>-0.38616059455687202</v>
      </c>
      <c r="C33">
        <v>0.90700000000000003</v>
      </c>
      <c r="D33">
        <v>0.94</v>
      </c>
      <c r="E33">
        <v>1.44212347667005E-6</v>
      </c>
      <c r="F33" t="s">
        <v>1017</v>
      </c>
      <c r="G33" t="s">
        <v>1018</v>
      </c>
      <c r="H33" t="s">
        <v>1017</v>
      </c>
      <c r="I33" t="str">
        <f>HYPERLINK("https://zfin.org/ZDB-GENE-030131-4343")</f>
        <v>https://zfin.org/ZDB-GENE-030131-4343</v>
      </c>
      <c r="J33" t="s">
        <v>1016</v>
      </c>
    </row>
    <row r="34" spans="1:10" x14ac:dyDescent="0.2">
      <c r="A34">
        <v>9.80426405930112E-11</v>
      </c>
      <c r="B34">
        <v>-0.35108802792310401</v>
      </c>
      <c r="C34">
        <v>0.96899999999999997</v>
      </c>
      <c r="D34">
        <v>0.98399999999999999</v>
      </c>
      <c r="E34">
        <v>1.51799420430159E-6</v>
      </c>
      <c r="F34" t="s">
        <v>222</v>
      </c>
      <c r="G34" t="s">
        <v>223</v>
      </c>
      <c r="H34" t="s">
        <v>222</v>
      </c>
      <c r="I34" t="str">
        <f>HYPERLINK("https://zfin.org/ZDB-GENE-040801-167")</f>
        <v>https://zfin.org/ZDB-GENE-040801-167</v>
      </c>
      <c r="J34" t="s">
        <v>224</v>
      </c>
    </row>
    <row r="35" spans="1:10" x14ac:dyDescent="0.2">
      <c r="A35">
        <v>2.16941918702519E-10</v>
      </c>
      <c r="B35">
        <v>-0.92419047076877803</v>
      </c>
      <c r="C35">
        <v>0.56499999999999995</v>
      </c>
      <c r="D35">
        <v>0.72699999999999998</v>
      </c>
      <c r="E35">
        <v>3.3589117272711001E-6</v>
      </c>
      <c r="F35" t="s">
        <v>2223</v>
      </c>
      <c r="G35" t="s">
        <v>2224</v>
      </c>
      <c r="H35" t="s">
        <v>2223</v>
      </c>
      <c r="I35" t="str">
        <f>HYPERLINK("https://zfin.org/ZDB-GENE-040912-122")</f>
        <v>https://zfin.org/ZDB-GENE-040912-122</v>
      </c>
      <c r="J35" t="s">
        <v>2222</v>
      </c>
    </row>
    <row r="36" spans="1:10" x14ac:dyDescent="0.2">
      <c r="A36">
        <v>2.9301521820994398E-10</v>
      </c>
      <c r="B36">
        <v>-0.30896125163292498</v>
      </c>
      <c r="C36">
        <v>0.95699999999999996</v>
      </c>
      <c r="D36">
        <v>0.96899999999999997</v>
      </c>
      <c r="E36">
        <v>4.5367546235445598E-6</v>
      </c>
      <c r="F36" t="s">
        <v>936</v>
      </c>
      <c r="G36" t="s">
        <v>937</v>
      </c>
      <c r="H36" t="s">
        <v>936</v>
      </c>
      <c r="I36" t="str">
        <f>HYPERLINK("https://zfin.org/ZDB-GENE-040801-8")</f>
        <v>https://zfin.org/ZDB-GENE-040801-8</v>
      </c>
      <c r="J36" t="s">
        <v>935</v>
      </c>
    </row>
    <row r="37" spans="1:10" x14ac:dyDescent="0.2">
      <c r="A37">
        <v>4.3189697351335E-10</v>
      </c>
      <c r="B37">
        <v>-0.29977688742742398</v>
      </c>
      <c r="C37">
        <v>0.97499999999999998</v>
      </c>
      <c r="D37">
        <v>0.97799999999999998</v>
      </c>
      <c r="E37">
        <v>6.6870608409072004E-6</v>
      </c>
      <c r="F37" t="s">
        <v>1005</v>
      </c>
      <c r="G37" t="s">
        <v>1006</v>
      </c>
      <c r="H37" t="s">
        <v>1005</v>
      </c>
      <c r="I37" t="str">
        <f>HYPERLINK("https://zfin.org/ZDB-GENE-040426-1718")</f>
        <v>https://zfin.org/ZDB-GENE-040426-1718</v>
      </c>
      <c r="J37" t="s">
        <v>1004</v>
      </c>
    </row>
    <row r="38" spans="1:10" x14ac:dyDescent="0.2">
      <c r="A38">
        <v>4.6603027938936503E-10</v>
      </c>
      <c r="B38">
        <v>-0.66780859001663995</v>
      </c>
      <c r="C38">
        <v>0.81399999999999995</v>
      </c>
      <c r="D38">
        <v>0.871</v>
      </c>
      <c r="E38">
        <v>7.2155468157855298E-6</v>
      </c>
      <c r="F38" t="s">
        <v>2103</v>
      </c>
      <c r="G38" t="s">
        <v>2104</v>
      </c>
      <c r="H38" t="s">
        <v>2103</v>
      </c>
      <c r="I38" t="str">
        <f>HYPERLINK("https://zfin.org/ZDB-GENE-051120-126")</f>
        <v>https://zfin.org/ZDB-GENE-051120-126</v>
      </c>
      <c r="J38" t="s">
        <v>2102</v>
      </c>
    </row>
    <row r="39" spans="1:10" x14ac:dyDescent="0.2">
      <c r="A39">
        <v>8.2463971370548502E-10</v>
      </c>
      <c r="B39">
        <v>-0.340275354387643</v>
      </c>
      <c r="C39">
        <v>0.90100000000000002</v>
      </c>
      <c r="D39">
        <v>0.95</v>
      </c>
      <c r="E39">
        <v>1.2767896687302001E-5</v>
      </c>
      <c r="F39" t="s">
        <v>1011</v>
      </c>
      <c r="G39" t="s">
        <v>1012</v>
      </c>
      <c r="H39" t="s">
        <v>1011</v>
      </c>
      <c r="I39" t="str">
        <f>HYPERLINK("https://zfin.org/ZDB-GENE-031007-1")</f>
        <v>https://zfin.org/ZDB-GENE-031007-1</v>
      </c>
      <c r="J39" t="s">
        <v>1010</v>
      </c>
    </row>
    <row r="40" spans="1:10" x14ac:dyDescent="0.2">
      <c r="A40">
        <v>8.7015170702183103E-10</v>
      </c>
      <c r="B40">
        <v>-0.32501126971072503</v>
      </c>
      <c r="C40">
        <v>0.98799999999999999</v>
      </c>
      <c r="D40">
        <v>0.97199999999999998</v>
      </c>
      <c r="E40">
        <v>1.3472558879819E-5</v>
      </c>
      <c r="F40" t="s">
        <v>300</v>
      </c>
      <c r="G40" t="s">
        <v>301</v>
      </c>
      <c r="H40" t="s">
        <v>300</v>
      </c>
      <c r="I40" t="str">
        <f>HYPERLINK("https://zfin.org/ZDB-GENE-030131-8752")</f>
        <v>https://zfin.org/ZDB-GENE-030131-8752</v>
      </c>
      <c r="J40" t="s">
        <v>302</v>
      </c>
    </row>
    <row r="41" spans="1:10" x14ac:dyDescent="0.2">
      <c r="A41">
        <v>1.64912723069589E-9</v>
      </c>
      <c r="B41">
        <v>-0.307029226174517</v>
      </c>
      <c r="C41">
        <v>0.93799999999999994</v>
      </c>
      <c r="D41">
        <v>0.95899999999999996</v>
      </c>
      <c r="E41">
        <v>2.5533436912864399E-5</v>
      </c>
      <c r="F41" t="s">
        <v>303</v>
      </c>
      <c r="G41" t="s">
        <v>304</v>
      </c>
      <c r="H41" t="s">
        <v>303</v>
      </c>
      <c r="I41" t="str">
        <f>HYPERLINK("https://zfin.org/ZDB-GENE-030131-2025")</f>
        <v>https://zfin.org/ZDB-GENE-030131-2025</v>
      </c>
      <c r="J41" t="s">
        <v>305</v>
      </c>
    </row>
    <row r="42" spans="1:10" x14ac:dyDescent="0.2">
      <c r="A42">
        <v>2.1335417070097202E-9</v>
      </c>
      <c r="B42">
        <v>-0.267094490560709</v>
      </c>
      <c r="C42">
        <v>0.96899999999999997</v>
      </c>
      <c r="D42">
        <v>0.98099999999999998</v>
      </c>
      <c r="E42">
        <v>3.3033626249631498E-5</v>
      </c>
      <c r="F42" t="s">
        <v>1053</v>
      </c>
      <c r="G42" t="s">
        <v>1054</v>
      </c>
      <c r="H42" t="s">
        <v>1053</v>
      </c>
      <c r="I42" t="str">
        <f>HYPERLINK("https://zfin.org/ZDB-GENE-030131-8646")</f>
        <v>https://zfin.org/ZDB-GENE-030131-8646</v>
      </c>
      <c r="J42" t="s">
        <v>1052</v>
      </c>
    </row>
    <row r="43" spans="1:10" x14ac:dyDescent="0.2">
      <c r="A43">
        <v>2.4773220962700302E-9</v>
      </c>
      <c r="B43">
        <v>-0.31400278041572099</v>
      </c>
      <c r="C43">
        <v>0.95</v>
      </c>
      <c r="D43">
        <v>0.98099999999999998</v>
      </c>
      <c r="E43">
        <v>3.83563780165489E-5</v>
      </c>
      <c r="F43" t="s">
        <v>942</v>
      </c>
      <c r="G43" t="s">
        <v>943</v>
      </c>
      <c r="H43" t="s">
        <v>942</v>
      </c>
      <c r="I43" t="str">
        <f>HYPERLINK("https://zfin.org/ZDB-GENE-030131-9092")</f>
        <v>https://zfin.org/ZDB-GENE-030131-9092</v>
      </c>
      <c r="J43" t="s">
        <v>941</v>
      </c>
    </row>
    <row r="44" spans="1:10" x14ac:dyDescent="0.2">
      <c r="A44">
        <v>4.07621715400424E-9</v>
      </c>
      <c r="B44">
        <v>-0.33039195926002202</v>
      </c>
      <c r="C44">
        <v>0.90100000000000002</v>
      </c>
      <c r="D44">
        <v>0.95299999999999996</v>
      </c>
      <c r="E44">
        <v>6.3112070195447601E-5</v>
      </c>
      <c r="F44" t="s">
        <v>954</v>
      </c>
      <c r="G44" t="s">
        <v>955</v>
      </c>
      <c r="H44" t="s">
        <v>954</v>
      </c>
      <c r="I44" t="str">
        <f>HYPERLINK("https://zfin.org/ZDB-GENE-030131-8656")</f>
        <v>https://zfin.org/ZDB-GENE-030131-8656</v>
      </c>
      <c r="J44" t="s">
        <v>953</v>
      </c>
    </row>
    <row r="45" spans="1:10" x14ac:dyDescent="0.2">
      <c r="A45">
        <v>9.0447810029988E-9</v>
      </c>
      <c r="B45">
        <v>-0.432392786359656</v>
      </c>
      <c r="C45">
        <v>0.73899999999999999</v>
      </c>
      <c r="D45">
        <v>0.85299999999999998</v>
      </c>
      <c r="E45">
        <v>1.4004034426942999E-4</v>
      </c>
      <c r="F45" t="s">
        <v>3081</v>
      </c>
      <c r="G45" t="s">
        <v>3082</v>
      </c>
      <c r="H45" t="s">
        <v>3081</v>
      </c>
      <c r="I45" t="str">
        <f>HYPERLINK("https://zfin.org/ZDB-GENE-040625-93")</f>
        <v>https://zfin.org/ZDB-GENE-040625-93</v>
      </c>
      <c r="J45" t="s">
        <v>3080</v>
      </c>
    </row>
    <row r="46" spans="1:10" x14ac:dyDescent="0.2">
      <c r="A46">
        <v>1.0022548332234001E-8</v>
      </c>
      <c r="B46">
        <v>-0.32315741696155498</v>
      </c>
      <c r="C46">
        <v>0.89400000000000002</v>
      </c>
      <c r="D46">
        <v>0.92800000000000005</v>
      </c>
      <c r="E46">
        <v>1.5517911582797899E-4</v>
      </c>
      <c r="F46" t="s">
        <v>1957</v>
      </c>
      <c r="G46" t="s">
        <v>1958</v>
      </c>
      <c r="H46" t="s">
        <v>1957</v>
      </c>
      <c r="I46" t="str">
        <f>HYPERLINK("https://zfin.org/ZDB-GENE-030131-8671")</f>
        <v>https://zfin.org/ZDB-GENE-030131-8671</v>
      </c>
      <c r="J46" t="s">
        <v>1956</v>
      </c>
    </row>
    <row r="47" spans="1:10" x14ac:dyDescent="0.2">
      <c r="A47">
        <v>1.16706493064215E-8</v>
      </c>
      <c r="B47">
        <v>-0.72797902391427205</v>
      </c>
      <c r="C47">
        <v>0.23</v>
      </c>
      <c r="D47">
        <v>0.498</v>
      </c>
      <c r="E47">
        <v>1.8069666321132401E-4</v>
      </c>
      <c r="F47" t="s">
        <v>2515</v>
      </c>
      <c r="G47" t="s">
        <v>2516</v>
      </c>
      <c r="H47" t="s">
        <v>2515</v>
      </c>
      <c r="I47" t="str">
        <f>HYPERLINK("https://zfin.org/ZDB-GENE-030521-10")</f>
        <v>https://zfin.org/ZDB-GENE-030521-10</v>
      </c>
      <c r="J47" t="s">
        <v>2514</v>
      </c>
    </row>
    <row r="48" spans="1:10" x14ac:dyDescent="0.2">
      <c r="A48">
        <v>1.5648928945044099E-8</v>
      </c>
      <c r="B48">
        <v>-0.76549906176557603</v>
      </c>
      <c r="C48">
        <v>0.161</v>
      </c>
      <c r="D48">
        <v>0.40400000000000003</v>
      </c>
      <c r="E48">
        <v>2.4229236685611701E-4</v>
      </c>
      <c r="F48" t="s">
        <v>3078</v>
      </c>
      <c r="G48" t="s">
        <v>3079</v>
      </c>
      <c r="H48" t="s">
        <v>3078</v>
      </c>
      <c r="I48" t="str">
        <f>HYPERLINK("https://zfin.org/ZDB-GENE-030131-9790")</f>
        <v>https://zfin.org/ZDB-GENE-030131-9790</v>
      </c>
      <c r="J48" t="s">
        <v>3077</v>
      </c>
    </row>
    <row r="49" spans="1:10" x14ac:dyDescent="0.2">
      <c r="A49">
        <v>2.0165015945281298E-8</v>
      </c>
      <c r="B49">
        <v>-0.26555012330425198</v>
      </c>
      <c r="C49">
        <v>0.96899999999999997</v>
      </c>
      <c r="D49">
        <v>0.98399999999999999</v>
      </c>
      <c r="E49">
        <v>3.1221494188079E-4</v>
      </c>
      <c r="F49" t="s">
        <v>978</v>
      </c>
      <c r="G49" t="s">
        <v>979</v>
      </c>
      <c r="H49" t="s">
        <v>978</v>
      </c>
      <c r="I49" t="str">
        <f>HYPERLINK("https://zfin.org/ZDB-GENE-031001-9")</f>
        <v>https://zfin.org/ZDB-GENE-031001-9</v>
      </c>
      <c r="J49" t="s">
        <v>977</v>
      </c>
    </row>
    <row r="50" spans="1:10" x14ac:dyDescent="0.2">
      <c r="A50">
        <v>2.38515762728782E-8</v>
      </c>
      <c r="B50">
        <v>-0.28537562843230102</v>
      </c>
      <c r="C50">
        <v>0.93799999999999994</v>
      </c>
      <c r="D50">
        <v>0.97199999999999998</v>
      </c>
      <c r="E50">
        <v>3.69293955432973E-4</v>
      </c>
      <c r="F50" t="s">
        <v>996</v>
      </c>
      <c r="G50" t="s">
        <v>997</v>
      </c>
      <c r="H50" t="s">
        <v>996</v>
      </c>
      <c r="I50" t="str">
        <f>HYPERLINK("https://zfin.org/ZDB-GENE-040426-1670")</f>
        <v>https://zfin.org/ZDB-GENE-040426-1670</v>
      </c>
      <c r="J50" t="s">
        <v>995</v>
      </c>
    </row>
    <row r="51" spans="1:10" x14ac:dyDescent="0.2">
      <c r="A51">
        <v>3.4580825150476201E-8</v>
      </c>
      <c r="B51">
        <v>-0.30123997118248602</v>
      </c>
      <c r="C51">
        <v>0.91300000000000003</v>
      </c>
      <c r="D51">
        <v>0.96599999999999997</v>
      </c>
      <c r="E51">
        <v>5.3541491580482402E-4</v>
      </c>
      <c r="F51" t="s">
        <v>1047</v>
      </c>
      <c r="G51" t="s">
        <v>1048</v>
      </c>
      <c r="H51" t="s">
        <v>1047</v>
      </c>
      <c r="I51" t="str">
        <f>HYPERLINK("https://zfin.org/ZDB-GENE-020423-1")</f>
        <v>https://zfin.org/ZDB-GENE-020423-1</v>
      </c>
      <c r="J51" t="s">
        <v>1046</v>
      </c>
    </row>
    <row r="52" spans="1:10" x14ac:dyDescent="0.2">
      <c r="A52">
        <v>3.9144910230177698E-8</v>
      </c>
      <c r="B52">
        <v>-0.36870853277412502</v>
      </c>
      <c r="C52">
        <v>0.83199999999999996</v>
      </c>
      <c r="D52">
        <v>0.875</v>
      </c>
      <c r="E52">
        <v>6.0608064509384103E-4</v>
      </c>
      <c r="F52" t="s">
        <v>990</v>
      </c>
      <c r="G52" t="s">
        <v>991</v>
      </c>
      <c r="H52" t="s">
        <v>990</v>
      </c>
      <c r="I52" t="str">
        <f>HYPERLINK("https://zfin.org/ZDB-GENE-030131-7479")</f>
        <v>https://zfin.org/ZDB-GENE-030131-7479</v>
      </c>
      <c r="J52" t="s">
        <v>989</v>
      </c>
    </row>
    <row r="53" spans="1:10" x14ac:dyDescent="0.2">
      <c r="A53">
        <v>4.3028486502736199E-8</v>
      </c>
      <c r="B53">
        <v>-0.32830344466834699</v>
      </c>
      <c r="C53">
        <v>0.88200000000000001</v>
      </c>
      <c r="D53">
        <v>0.91800000000000004</v>
      </c>
      <c r="E53">
        <v>6.6621005652186497E-4</v>
      </c>
      <c r="F53" t="s">
        <v>833</v>
      </c>
      <c r="G53" t="s">
        <v>834</v>
      </c>
      <c r="H53" t="s">
        <v>833</v>
      </c>
      <c r="I53" t="str">
        <f>HYPERLINK("https://zfin.org/ZDB-GENE-030131-8585")</f>
        <v>https://zfin.org/ZDB-GENE-030131-8585</v>
      </c>
      <c r="J53" t="s">
        <v>832</v>
      </c>
    </row>
    <row r="54" spans="1:10" x14ac:dyDescent="0.2">
      <c r="A54">
        <v>6.0076021760130806E-8</v>
      </c>
      <c r="B54">
        <v>-0.29502707315012699</v>
      </c>
      <c r="C54">
        <v>0.91900000000000004</v>
      </c>
      <c r="D54">
        <v>0.96199999999999997</v>
      </c>
      <c r="E54">
        <v>9.3015704491210499E-4</v>
      </c>
      <c r="F54" t="s">
        <v>1038</v>
      </c>
      <c r="G54" t="s">
        <v>1039</v>
      </c>
      <c r="H54" t="s">
        <v>1038</v>
      </c>
      <c r="I54" t="str">
        <f>HYPERLINK("https://zfin.org/ZDB-GENE-010724-15")</f>
        <v>https://zfin.org/ZDB-GENE-010724-15</v>
      </c>
      <c r="J54" t="s">
        <v>1037</v>
      </c>
    </row>
    <row r="55" spans="1:10" x14ac:dyDescent="0.2">
      <c r="A55">
        <v>8.5232141416798695E-8</v>
      </c>
      <c r="B55">
        <v>-0.466927468530903</v>
      </c>
      <c r="C55">
        <v>0.752</v>
      </c>
      <c r="D55">
        <v>0.81200000000000006</v>
      </c>
      <c r="E55">
        <v>1.3196492455562899E-3</v>
      </c>
      <c r="F55" t="s">
        <v>1379</v>
      </c>
      <c r="G55" t="s">
        <v>1380</v>
      </c>
      <c r="H55" t="s">
        <v>1379</v>
      </c>
      <c r="I55" t="str">
        <f>HYPERLINK("https://zfin.org/ZDB-GENE-030131-8625")</f>
        <v>https://zfin.org/ZDB-GENE-030131-8625</v>
      </c>
      <c r="J55" t="s">
        <v>1378</v>
      </c>
    </row>
    <row r="56" spans="1:10" x14ac:dyDescent="0.2">
      <c r="A56">
        <v>8.5784145774282206E-8</v>
      </c>
      <c r="B56">
        <v>-0.26655080977534501</v>
      </c>
      <c r="C56">
        <v>0.95</v>
      </c>
      <c r="D56">
        <v>0.97499999999999998</v>
      </c>
      <c r="E56">
        <v>1.32819592902321E-3</v>
      </c>
      <c r="F56" t="s">
        <v>1029</v>
      </c>
      <c r="G56" t="s">
        <v>1030</v>
      </c>
      <c r="H56" t="s">
        <v>1029</v>
      </c>
      <c r="I56" t="str">
        <f>HYPERLINK("https://zfin.org/ZDB-GENE-030131-1291")</f>
        <v>https://zfin.org/ZDB-GENE-030131-1291</v>
      </c>
      <c r="J56" t="s">
        <v>1028</v>
      </c>
    </row>
    <row r="57" spans="1:10" x14ac:dyDescent="0.2">
      <c r="A57">
        <v>1.4240860713800299E-7</v>
      </c>
      <c r="B57">
        <v>-0.27212833197371</v>
      </c>
      <c r="C57">
        <v>0.97499999999999998</v>
      </c>
      <c r="D57">
        <v>0.97499999999999998</v>
      </c>
      <c r="E57">
        <v>2.2049124643177E-3</v>
      </c>
      <c r="F57" t="s">
        <v>960</v>
      </c>
      <c r="G57" t="s">
        <v>961</v>
      </c>
      <c r="H57" t="s">
        <v>960</v>
      </c>
      <c r="I57" t="str">
        <f>HYPERLINK("https://zfin.org/ZDB-GENE-050506-107")</f>
        <v>https://zfin.org/ZDB-GENE-050506-107</v>
      </c>
      <c r="J57" t="s">
        <v>959</v>
      </c>
    </row>
    <row r="58" spans="1:10" x14ac:dyDescent="0.2">
      <c r="A58">
        <v>1.5152696953757801E-7</v>
      </c>
      <c r="B58">
        <v>-0.38802467103429999</v>
      </c>
      <c r="C58">
        <v>0.72</v>
      </c>
      <c r="D58">
        <v>0.80900000000000005</v>
      </c>
      <c r="E58">
        <v>2.3460920693503199E-3</v>
      </c>
      <c r="F58" t="s">
        <v>2458</v>
      </c>
      <c r="G58" t="s">
        <v>2459</v>
      </c>
      <c r="H58" t="s">
        <v>2458</v>
      </c>
      <c r="I58" t="str">
        <f>HYPERLINK("https://zfin.org/ZDB-GENE-040426-1852")</f>
        <v>https://zfin.org/ZDB-GENE-040426-1852</v>
      </c>
      <c r="J58" t="s">
        <v>2457</v>
      </c>
    </row>
    <row r="59" spans="1:10" x14ac:dyDescent="0.2">
      <c r="A59">
        <v>2.3991551866083101E-7</v>
      </c>
      <c r="B59">
        <v>-0.73285611580194199</v>
      </c>
      <c r="C59">
        <v>1.2E-2</v>
      </c>
      <c r="D59">
        <v>0.17599999999999999</v>
      </c>
      <c r="E59">
        <v>3.71461197542564E-3</v>
      </c>
      <c r="F59" t="s">
        <v>2943</v>
      </c>
      <c r="G59" t="s">
        <v>2944</v>
      </c>
      <c r="H59" t="s">
        <v>2943</v>
      </c>
      <c r="I59" t="str">
        <f>HYPERLINK("https://zfin.org/ZDB-GENE-990714-11")</f>
        <v>https://zfin.org/ZDB-GENE-990714-11</v>
      </c>
      <c r="J59" t="s">
        <v>2942</v>
      </c>
    </row>
    <row r="60" spans="1:10" x14ac:dyDescent="0.2">
      <c r="A60">
        <v>3.2459046113414E-7</v>
      </c>
      <c r="B60">
        <v>-0.66432933284925799</v>
      </c>
      <c r="C60">
        <v>0.317</v>
      </c>
      <c r="D60">
        <v>0.51100000000000001</v>
      </c>
      <c r="E60">
        <v>5.0256341097398901E-3</v>
      </c>
      <c r="F60" t="s">
        <v>1020</v>
      </c>
      <c r="G60" t="s">
        <v>1021</v>
      </c>
      <c r="H60" t="s">
        <v>1020</v>
      </c>
      <c r="I60" t="str">
        <f>HYPERLINK("https://zfin.org/ZDB-GENE-030131-247")</f>
        <v>https://zfin.org/ZDB-GENE-030131-247</v>
      </c>
      <c r="J60" t="s">
        <v>1019</v>
      </c>
    </row>
    <row r="61" spans="1:10" x14ac:dyDescent="0.2">
      <c r="A61">
        <v>3.3515217260218597E-7</v>
      </c>
      <c r="B61">
        <v>-0.28222665164553001</v>
      </c>
      <c r="C61">
        <v>0.91900000000000004</v>
      </c>
      <c r="D61">
        <v>0.95899999999999996</v>
      </c>
      <c r="E61">
        <v>5.1891610883996403E-3</v>
      </c>
      <c r="F61" t="s">
        <v>1002</v>
      </c>
      <c r="G61" t="s">
        <v>1003</v>
      </c>
      <c r="H61" t="s">
        <v>1002</v>
      </c>
      <c r="I61" t="str">
        <f>HYPERLINK("https://zfin.org/ZDB-GENE-030131-8654")</f>
        <v>https://zfin.org/ZDB-GENE-030131-8654</v>
      </c>
      <c r="J61" t="s">
        <v>1001</v>
      </c>
    </row>
    <row r="62" spans="1:10" x14ac:dyDescent="0.2">
      <c r="A62">
        <v>3.5803214896362898E-7</v>
      </c>
      <c r="B62">
        <v>-0.28212954970752402</v>
      </c>
      <c r="C62">
        <v>0.96899999999999997</v>
      </c>
      <c r="D62">
        <v>0.96599999999999997</v>
      </c>
      <c r="E62">
        <v>5.5434117624038699E-3</v>
      </c>
      <c r="F62" t="s">
        <v>981</v>
      </c>
      <c r="G62" t="s">
        <v>982</v>
      </c>
      <c r="H62" t="s">
        <v>981</v>
      </c>
      <c r="I62" t="str">
        <f>HYPERLINK("https://zfin.org/ZDB-GENE-040927-19")</f>
        <v>https://zfin.org/ZDB-GENE-040927-19</v>
      </c>
      <c r="J62" t="s">
        <v>980</v>
      </c>
    </row>
    <row r="63" spans="1:10" x14ac:dyDescent="0.2">
      <c r="A63">
        <v>4.08952918867838E-7</v>
      </c>
      <c r="B63">
        <v>-0.67530284395277795</v>
      </c>
      <c r="C63">
        <v>1.9E-2</v>
      </c>
      <c r="D63">
        <v>0.17899999999999999</v>
      </c>
      <c r="E63">
        <v>6.3318180428307402E-3</v>
      </c>
      <c r="F63" t="s">
        <v>2524</v>
      </c>
      <c r="G63" t="s">
        <v>2525</v>
      </c>
      <c r="H63" t="s">
        <v>2524</v>
      </c>
      <c r="I63" t="str">
        <f>HYPERLINK("https://zfin.org/ZDB-GENE-020419-24")</f>
        <v>https://zfin.org/ZDB-GENE-020419-24</v>
      </c>
      <c r="J63" t="s">
        <v>2523</v>
      </c>
    </row>
    <row r="64" spans="1:10" x14ac:dyDescent="0.2">
      <c r="A64">
        <v>4.7152285936137202E-7</v>
      </c>
      <c r="B64">
        <v>-0.38187281136551299</v>
      </c>
      <c r="C64">
        <v>0.83199999999999996</v>
      </c>
      <c r="D64">
        <v>0.84599999999999997</v>
      </c>
      <c r="E64">
        <v>7.30058843149212E-3</v>
      </c>
      <c r="F64" t="s">
        <v>1948</v>
      </c>
      <c r="G64" t="s">
        <v>1949</v>
      </c>
      <c r="H64" t="s">
        <v>1948</v>
      </c>
      <c r="I64" t="str">
        <f>HYPERLINK("https://zfin.org/ZDB-GENE-050417-329")</f>
        <v>https://zfin.org/ZDB-GENE-050417-329</v>
      </c>
      <c r="J64" t="s">
        <v>1947</v>
      </c>
    </row>
    <row r="65" spans="1:10" x14ac:dyDescent="0.2">
      <c r="A65">
        <v>4.8805349124817503E-7</v>
      </c>
      <c r="B65">
        <v>-0.626398687038625</v>
      </c>
      <c r="C65">
        <v>0.186</v>
      </c>
      <c r="D65">
        <v>0.39800000000000002</v>
      </c>
      <c r="E65">
        <v>7.5565322049954897E-3</v>
      </c>
      <c r="F65" t="s">
        <v>3075</v>
      </c>
      <c r="G65" t="s">
        <v>3076</v>
      </c>
      <c r="H65" t="s">
        <v>3075</v>
      </c>
      <c r="I65" t="str">
        <f>HYPERLINK("https://zfin.org/ZDB-GENE-030131-9670")</f>
        <v>https://zfin.org/ZDB-GENE-030131-9670</v>
      </c>
      <c r="J65" t="s">
        <v>3074</v>
      </c>
    </row>
    <row r="66" spans="1:10" x14ac:dyDescent="0.2">
      <c r="A66">
        <v>5.5061000568488103E-7</v>
      </c>
      <c r="B66">
        <v>-0.31789099076055299</v>
      </c>
      <c r="C66">
        <v>0.90100000000000002</v>
      </c>
      <c r="D66">
        <v>0.93400000000000005</v>
      </c>
      <c r="E66">
        <v>8.5250947180190197E-3</v>
      </c>
      <c r="F66" t="s">
        <v>948</v>
      </c>
      <c r="G66" t="s">
        <v>949</v>
      </c>
      <c r="H66" t="s">
        <v>948</v>
      </c>
      <c r="I66" t="str">
        <f>HYPERLINK("https://zfin.org/ZDB-GENE-030131-10018")</f>
        <v>https://zfin.org/ZDB-GENE-030131-10018</v>
      </c>
      <c r="J66" t="s">
        <v>947</v>
      </c>
    </row>
    <row r="67" spans="1:10" x14ac:dyDescent="0.2">
      <c r="A67">
        <v>6.5991024342298604E-7</v>
      </c>
      <c r="B67">
        <v>-0.32209523080343899</v>
      </c>
      <c r="C67">
        <v>0.83199999999999996</v>
      </c>
      <c r="D67">
        <v>0.88400000000000001</v>
      </c>
      <c r="E67">
        <v>1.02173902989181E-2</v>
      </c>
      <c r="F67" t="s">
        <v>927</v>
      </c>
      <c r="G67" t="s">
        <v>928</v>
      </c>
      <c r="H67" t="s">
        <v>927</v>
      </c>
      <c r="I67" t="str">
        <f>HYPERLINK("https://zfin.org/ZDB-GENE-040426-1706")</f>
        <v>https://zfin.org/ZDB-GENE-040426-1706</v>
      </c>
      <c r="J67" t="s">
        <v>926</v>
      </c>
    </row>
    <row r="68" spans="1:10" x14ac:dyDescent="0.2">
      <c r="A68">
        <v>7.2800724686963198E-7</v>
      </c>
      <c r="B68">
        <v>-0.48489604188341201</v>
      </c>
      <c r="C68">
        <v>0.59599999999999997</v>
      </c>
      <c r="D68">
        <v>0.752</v>
      </c>
      <c r="E68">
        <v>1.1271736203282499E-2</v>
      </c>
      <c r="F68" t="s">
        <v>246</v>
      </c>
      <c r="G68" t="s">
        <v>247</v>
      </c>
      <c r="H68" t="s">
        <v>246</v>
      </c>
      <c r="I68" t="str">
        <f>HYPERLINK("https://zfin.org/ZDB-GENE-040426-2720")</f>
        <v>https://zfin.org/ZDB-GENE-040426-2720</v>
      </c>
      <c r="J68" t="s">
        <v>248</v>
      </c>
    </row>
    <row r="69" spans="1:10" x14ac:dyDescent="0.2">
      <c r="A69">
        <v>8.0787524718865596E-7</v>
      </c>
      <c r="B69">
        <v>-0.31460806246584699</v>
      </c>
      <c r="C69">
        <v>0.85699999999999998</v>
      </c>
      <c r="D69">
        <v>0.91500000000000004</v>
      </c>
      <c r="E69">
        <v>1.2508332452222E-2</v>
      </c>
      <c r="F69" t="s">
        <v>2473</v>
      </c>
      <c r="G69" t="s">
        <v>2474</v>
      </c>
      <c r="H69" t="s">
        <v>2473</v>
      </c>
      <c r="I69" t="str">
        <f>HYPERLINK("https://zfin.org/ZDB-GENE-030131-7275")</f>
        <v>https://zfin.org/ZDB-GENE-030131-7275</v>
      </c>
      <c r="J69" t="s">
        <v>2472</v>
      </c>
    </row>
    <row r="70" spans="1:10" x14ac:dyDescent="0.2">
      <c r="A70">
        <v>8.9141110727277701E-7</v>
      </c>
      <c r="B70">
        <v>-0.28927377254401698</v>
      </c>
      <c r="C70">
        <v>0.92500000000000004</v>
      </c>
      <c r="D70">
        <v>0.96599999999999997</v>
      </c>
      <c r="E70">
        <v>1.3801718173904401E-2</v>
      </c>
      <c r="F70" t="s">
        <v>273</v>
      </c>
      <c r="G70" t="s">
        <v>274</v>
      </c>
      <c r="H70" t="s">
        <v>273</v>
      </c>
      <c r="I70" t="str">
        <f>HYPERLINK("https://zfin.org/ZDB-GENE-040930-10")</f>
        <v>https://zfin.org/ZDB-GENE-040930-10</v>
      </c>
      <c r="J70" t="s">
        <v>275</v>
      </c>
    </row>
    <row r="71" spans="1:10" x14ac:dyDescent="0.2">
      <c r="A71">
        <v>1.0080602948571301E-6</v>
      </c>
      <c r="B71">
        <v>-0.44760481938067098</v>
      </c>
      <c r="C71">
        <v>0.54</v>
      </c>
      <c r="D71">
        <v>0.67400000000000004</v>
      </c>
      <c r="E71">
        <v>1.5607797545272899E-2</v>
      </c>
      <c r="F71" t="s">
        <v>3072</v>
      </c>
      <c r="G71" t="s">
        <v>3073</v>
      </c>
      <c r="H71" t="s">
        <v>3072</v>
      </c>
      <c r="I71" t="str">
        <f>HYPERLINK("https://zfin.org/ZDB-GENE-061027-176")</f>
        <v>https://zfin.org/ZDB-GENE-061027-176</v>
      </c>
      <c r="J71" t="s">
        <v>3071</v>
      </c>
    </row>
    <row r="72" spans="1:10" x14ac:dyDescent="0.2">
      <c r="A72">
        <v>1.0589893534742601E-6</v>
      </c>
      <c r="B72">
        <v>-0.34455383866112999</v>
      </c>
      <c r="C72">
        <v>0.80100000000000005</v>
      </c>
      <c r="D72">
        <v>0.9</v>
      </c>
      <c r="E72">
        <v>1.6396332159842E-2</v>
      </c>
      <c r="F72" t="s">
        <v>878</v>
      </c>
      <c r="G72" t="s">
        <v>879</v>
      </c>
      <c r="H72" t="s">
        <v>878</v>
      </c>
      <c r="I72" t="str">
        <f>HYPERLINK("https://zfin.org/ZDB-GENE-030131-168")</f>
        <v>https://zfin.org/ZDB-GENE-030131-168</v>
      </c>
      <c r="J72" t="s">
        <v>877</v>
      </c>
    </row>
    <row r="73" spans="1:10" x14ac:dyDescent="0.2">
      <c r="A73">
        <v>1.21906312301136E-6</v>
      </c>
      <c r="B73">
        <v>-0.26943768351777903</v>
      </c>
      <c r="C73">
        <v>0.90700000000000003</v>
      </c>
      <c r="D73">
        <v>0.92500000000000004</v>
      </c>
      <c r="E73">
        <v>1.88747543335849E-2</v>
      </c>
      <c r="F73" t="s">
        <v>893</v>
      </c>
      <c r="G73" t="s">
        <v>894</v>
      </c>
      <c r="H73" t="s">
        <v>893</v>
      </c>
      <c r="I73" t="str">
        <f>HYPERLINK("https://zfin.org/ZDB-GENE-990415-89")</f>
        <v>https://zfin.org/ZDB-GENE-990415-89</v>
      </c>
      <c r="J73" t="s">
        <v>892</v>
      </c>
    </row>
    <row r="74" spans="1:10" x14ac:dyDescent="0.2">
      <c r="A74">
        <v>1.50380220541043E-6</v>
      </c>
      <c r="B74">
        <v>-0.49418322872728798</v>
      </c>
      <c r="C74">
        <v>0.155</v>
      </c>
      <c r="D74">
        <v>0.36699999999999999</v>
      </c>
      <c r="E74">
        <v>2.3283369546369701E-2</v>
      </c>
      <c r="F74" t="s">
        <v>3069</v>
      </c>
      <c r="G74" t="s">
        <v>3070</v>
      </c>
      <c r="H74" t="s">
        <v>3069</v>
      </c>
      <c r="I74" t="str">
        <f>HYPERLINK("https://zfin.org/ZDB-GENE-080722-2")</f>
        <v>https://zfin.org/ZDB-GENE-080722-2</v>
      </c>
      <c r="J74" t="s">
        <v>3068</v>
      </c>
    </row>
    <row r="75" spans="1:10" x14ac:dyDescent="0.2">
      <c r="A75">
        <v>1.51640944074073E-6</v>
      </c>
      <c r="B75">
        <v>-0.28364391988358501</v>
      </c>
      <c r="C75">
        <v>0.92500000000000004</v>
      </c>
      <c r="D75">
        <v>0.93700000000000006</v>
      </c>
      <c r="E75">
        <v>2.34785673709887E-2</v>
      </c>
      <c r="F75" t="s">
        <v>909</v>
      </c>
      <c r="G75" t="s">
        <v>910</v>
      </c>
      <c r="H75" t="s">
        <v>909</v>
      </c>
      <c r="I75" t="str">
        <f>HYPERLINK("https://zfin.org/ZDB-GENE-040426-1481")</f>
        <v>https://zfin.org/ZDB-GENE-040426-1481</v>
      </c>
      <c r="J75" t="s">
        <v>908</v>
      </c>
    </row>
    <row r="76" spans="1:10" x14ac:dyDescent="0.2">
      <c r="A76">
        <v>1.7546553374962601E-6</v>
      </c>
      <c r="B76">
        <v>-0.28391813075637301</v>
      </c>
      <c r="C76">
        <v>0.90700000000000003</v>
      </c>
      <c r="D76">
        <v>0.96599999999999997</v>
      </c>
      <c r="E76">
        <v>2.7167328590454499E-2</v>
      </c>
      <c r="F76" t="s">
        <v>872</v>
      </c>
      <c r="G76" t="s">
        <v>873</v>
      </c>
      <c r="H76" t="s">
        <v>872</v>
      </c>
      <c r="I76" t="str">
        <f>HYPERLINK("https://zfin.org/ZDB-GENE-000629-1")</f>
        <v>https://zfin.org/ZDB-GENE-000629-1</v>
      </c>
      <c r="J76" t="s">
        <v>871</v>
      </c>
    </row>
    <row r="77" spans="1:10" x14ac:dyDescent="0.2">
      <c r="A77">
        <v>2.0877686431436001E-6</v>
      </c>
      <c r="B77">
        <v>-0.49559566045106002</v>
      </c>
      <c r="C77">
        <v>1.9E-2</v>
      </c>
      <c r="D77">
        <v>0.16600000000000001</v>
      </c>
      <c r="E77">
        <v>3.23249219017923E-2</v>
      </c>
      <c r="F77" t="s">
        <v>2229</v>
      </c>
      <c r="G77" t="s">
        <v>2230</v>
      </c>
      <c r="H77" t="s">
        <v>2229</v>
      </c>
      <c r="I77" t="str">
        <f>HYPERLINK("https://zfin.org/ZDB-GENE-141212-376")</f>
        <v>https://zfin.org/ZDB-GENE-141212-376</v>
      </c>
      <c r="J77" t="s">
        <v>2228</v>
      </c>
    </row>
    <row r="78" spans="1:10" x14ac:dyDescent="0.2">
      <c r="A78">
        <v>2.1146873176884501E-6</v>
      </c>
      <c r="B78">
        <v>-0.29176058708319702</v>
      </c>
      <c r="C78">
        <v>0.89400000000000002</v>
      </c>
      <c r="D78">
        <v>0.95299999999999996</v>
      </c>
      <c r="E78">
        <v>3.27417037397702E-2</v>
      </c>
      <c r="F78" t="s">
        <v>915</v>
      </c>
      <c r="G78" t="s">
        <v>916</v>
      </c>
      <c r="H78" t="s">
        <v>915</v>
      </c>
      <c r="I78" t="str">
        <f>HYPERLINK("https://zfin.org/ZDB-GENE-040426-2701")</f>
        <v>https://zfin.org/ZDB-GENE-040426-2701</v>
      </c>
      <c r="J78" t="s">
        <v>914</v>
      </c>
    </row>
    <row r="79" spans="1:10" x14ac:dyDescent="0.2">
      <c r="A79">
        <v>3.7766951958579298E-6</v>
      </c>
      <c r="B79">
        <v>-0.50470225897160204</v>
      </c>
      <c r="C79">
        <v>0.317</v>
      </c>
      <c r="D79">
        <v>0.502</v>
      </c>
      <c r="E79">
        <v>5.8474571717468303E-2</v>
      </c>
      <c r="F79" t="s">
        <v>3066</v>
      </c>
      <c r="G79" t="s">
        <v>3067</v>
      </c>
      <c r="H79" t="s">
        <v>3066</v>
      </c>
      <c r="I79" t="str">
        <f>HYPERLINK("https://zfin.org/ZDB-GENE-040426-1819")</f>
        <v>https://zfin.org/ZDB-GENE-040426-1819</v>
      </c>
      <c r="J79" t="s">
        <v>3065</v>
      </c>
    </row>
    <row r="80" spans="1:10" x14ac:dyDescent="0.2">
      <c r="A80">
        <v>4.8916995956556598E-6</v>
      </c>
      <c r="B80">
        <v>-0.25868988583097702</v>
      </c>
      <c r="C80">
        <v>0.88800000000000001</v>
      </c>
      <c r="D80">
        <v>0.93700000000000006</v>
      </c>
      <c r="E80">
        <v>7.5738184839536496E-2</v>
      </c>
      <c r="F80" t="s">
        <v>984</v>
      </c>
      <c r="G80" t="s">
        <v>985</v>
      </c>
      <c r="H80" t="s">
        <v>984</v>
      </c>
      <c r="I80" t="str">
        <f>HYPERLINK("https://zfin.org/ZDB-GENE-030131-8512")</f>
        <v>https://zfin.org/ZDB-GENE-030131-8512</v>
      </c>
      <c r="J80" t="s">
        <v>983</v>
      </c>
    </row>
    <row r="81" spans="1:10" x14ac:dyDescent="0.2">
      <c r="A81">
        <v>5.0029913508223601E-6</v>
      </c>
      <c r="B81">
        <v>-0.37720317975714401</v>
      </c>
      <c r="C81">
        <v>0.72699999999999998</v>
      </c>
      <c r="D81">
        <v>0.80600000000000005</v>
      </c>
      <c r="E81">
        <v>7.74613150847826E-2</v>
      </c>
      <c r="F81" t="s">
        <v>3063</v>
      </c>
      <c r="G81" t="s">
        <v>3064</v>
      </c>
      <c r="H81" t="s">
        <v>3063</v>
      </c>
      <c r="I81" t="str">
        <f>HYPERLINK("https://zfin.org/ZDB-GENE-030131-9034")</f>
        <v>https://zfin.org/ZDB-GENE-030131-9034</v>
      </c>
      <c r="J81" t="s">
        <v>3062</v>
      </c>
    </row>
    <row r="82" spans="1:10" x14ac:dyDescent="0.2">
      <c r="A82">
        <v>6.0177896196607398E-6</v>
      </c>
      <c r="B82">
        <v>-0.49406388590204098</v>
      </c>
      <c r="C82">
        <v>1.9E-2</v>
      </c>
      <c r="D82">
        <v>0.157</v>
      </c>
      <c r="E82">
        <v>9.31734366812072E-2</v>
      </c>
      <c r="F82" t="s">
        <v>2497</v>
      </c>
      <c r="G82" t="s">
        <v>2498</v>
      </c>
      <c r="H82" t="s">
        <v>2497</v>
      </c>
      <c r="I82" t="str">
        <f>HYPERLINK("https://zfin.org/ZDB-GENE-020419-4")</f>
        <v>https://zfin.org/ZDB-GENE-020419-4</v>
      </c>
      <c r="J82" t="s">
        <v>2496</v>
      </c>
    </row>
    <row r="83" spans="1:10" x14ac:dyDescent="0.2">
      <c r="A83">
        <v>7.6295077040730197E-6</v>
      </c>
      <c r="B83">
        <v>-0.54394971020240701</v>
      </c>
      <c r="C83">
        <v>0.155</v>
      </c>
      <c r="D83">
        <v>0.33900000000000002</v>
      </c>
      <c r="E83">
        <v>0.11812766778216301</v>
      </c>
      <c r="F83" t="s">
        <v>3060</v>
      </c>
      <c r="G83" t="s">
        <v>3061</v>
      </c>
      <c r="H83" t="s">
        <v>3060</v>
      </c>
      <c r="I83" t="str">
        <f>HYPERLINK("https://zfin.org/ZDB-GENE-030127-1")</f>
        <v>https://zfin.org/ZDB-GENE-030127-1</v>
      </c>
      <c r="J83" t="s">
        <v>3059</v>
      </c>
    </row>
    <row r="84" spans="1:10" x14ac:dyDescent="0.2">
      <c r="A84">
        <v>1.20165411403559E-5</v>
      </c>
      <c r="B84">
        <v>-0.46132649780965101</v>
      </c>
      <c r="C84">
        <v>3.1E-2</v>
      </c>
      <c r="D84">
        <v>0.16900000000000001</v>
      </c>
      <c r="E84">
        <v>0.18605210647613099</v>
      </c>
      <c r="F84" t="s">
        <v>2317</v>
      </c>
      <c r="G84" t="s">
        <v>2318</v>
      </c>
      <c r="H84" t="s">
        <v>2317</v>
      </c>
      <c r="I84" t="str">
        <f>HYPERLINK("https://zfin.org/ZDB-GENE-050417-201")</f>
        <v>https://zfin.org/ZDB-GENE-050417-201</v>
      </c>
      <c r="J84" t="s">
        <v>2316</v>
      </c>
    </row>
    <row r="85" spans="1:10" x14ac:dyDescent="0.2">
      <c r="A85">
        <v>1.31981020239108E-5</v>
      </c>
      <c r="B85">
        <v>-0.26318974935878803</v>
      </c>
      <c r="C85">
        <v>0.90700000000000003</v>
      </c>
      <c r="D85">
        <v>0.94</v>
      </c>
      <c r="E85">
        <v>0.204346213636211</v>
      </c>
      <c r="F85" t="s">
        <v>890</v>
      </c>
      <c r="G85" t="s">
        <v>891</v>
      </c>
      <c r="H85" t="s">
        <v>890</v>
      </c>
      <c r="I85" t="str">
        <f>HYPERLINK("https://zfin.org/ZDB-GENE-050320-15")</f>
        <v>https://zfin.org/ZDB-GENE-050320-15</v>
      </c>
      <c r="J85" t="s">
        <v>889</v>
      </c>
    </row>
    <row r="86" spans="1:10" x14ac:dyDescent="0.2">
      <c r="A86">
        <v>1.3793618639729899E-5</v>
      </c>
      <c r="B86">
        <v>-0.75828379252350997</v>
      </c>
      <c r="C86">
        <v>0.47199999999999998</v>
      </c>
      <c r="D86">
        <v>0.60199999999999998</v>
      </c>
      <c r="E86">
        <v>0.21356659739893699</v>
      </c>
      <c r="F86" t="s">
        <v>1470</v>
      </c>
      <c r="G86" t="s">
        <v>1471</v>
      </c>
      <c r="H86" t="s">
        <v>1470</v>
      </c>
      <c r="I86" t="str">
        <f>HYPERLINK("https://zfin.org/ZDB-GENE-031112-4")</f>
        <v>https://zfin.org/ZDB-GENE-031112-4</v>
      </c>
      <c r="J86" t="s">
        <v>1469</v>
      </c>
    </row>
    <row r="87" spans="1:10" x14ac:dyDescent="0.2">
      <c r="A87">
        <v>1.4071854027599001E-5</v>
      </c>
      <c r="B87">
        <v>-0.25573763642682301</v>
      </c>
      <c r="C87">
        <v>0.88800000000000001</v>
      </c>
      <c r="D87">
        <v>0.92800000000000005</v>
      </c>
      <c r="E87">
        <v>0.217874515909315</v>
      </c>
      <c r="F87" t="s">
        <v>975</v>
      </c>
      <c r="G87" t="s">
        <v>976</v>
      </c>
      <c r="H87" t="s">
        <v>975</v>
      </c>
      <c r="I87" t="str">
        <f>HYPERLINK("https://zfin.org/ZDB-GENE-040426-1700")</f>
        <v>https://zfin.org/ZDB-GENE-040426-1700</v>
      </c>
      <c r="J87" t="s">
        <v>974</v>
      </c>
    </row>
    <row r="88" spans="1:10" x14ac:dyDescent="0.2">
      <c r="A88">
        <v>1.48490100074846E-5</v>
      </c>
      <c r="B88">
        <v>-0.46044083985353901</v>
      </c>
      <c r="C88">
        <v>4.2999999999999997E-2</v>
      </c>
      <c r="D88">
        <v>0.185</v>
      </c>
      <c r="E88">
        <v>0.229907221945884</v>
      </c>
      <c r="F88" t="s">
        <v>3057</v>
      </c>
      <c r="G88" t="s">
        <v>3058</v>
      </c>
      <c r="H88" t="s">
        <v>3057</v>
      </c>
      <c r="I88" t="str">
        <f>HYPERLINK("https://zfin.org/ZDB-GENE-060518-1")</f>
        <v>https://zfin.org/ZDB-GENE-060518-1</v>
      </c>
      <c r="J88" t="s">
        <v>3056</v>
      </c>
    </row>
    <row r="89" spans="1:10" x14ac:dyDescent="0.2">
      <c r="A89">
        <v>1.88130579248319E-5</v>
      </c>
      <c r="B89">
        <v>-0.50725674872534798</v>
      </c>
      <c r="C89">
        <v>2.5000000000000001E-2</v>
      </c>
      <c r="D89">
        <v>0.154</v>
      </c>
      <c r="E89">
        <v>0.29128257585017198</v>
      </c>
      <c r="F89" t="s">
        <v>3054</v>
      </c>
      <c r="G89" t="s">
        <v>3055</v>
      </c>
      <c r="H89" t="s">
        <v>3054</v>
      </c>
      <c r="I89" t="str">
        <f>HYPERLINK("https://zfin.org/ZDB-GENE-030909-6")</f>
        <v>https://zfin.org/ZDB-GENE-030909-6</v>
      </c>
      <c r="J89" t="s">
        <v>3053</v>
      </c>
    </row>
    <row r="90" spans="1:10" x14ac:dyDescent="0.2">
      <c r="A90">
        <v>1.9341019717412598E-5</v>
      </c>
      <c r="B90">
        <v>-0.30394141044321499</v>
      </c>
      <c r="C90">
        <v>0.83899999999999997</v>
      </c>
      <c r="D90">
        <v>0.875</v>
      </c>
      <c r="E90">
        <v>0.29945700828470001</v>
      </c>
      <c r="F90" t="s">
        <v>884</v>
      </c>
      <c r="G90" t="s">
        <v>885</v>
      </c>
      <c r="H90" t="s">
        <v>884</v>
      </c>
      <c r="I90" t="str">
        <f>HYPERLINK("https://zfin.org/ZDB-GENE-030131-8494")</f>
        <v>https://zfin.org/ZDB-GENE-030131-8494</v>
      </c>
      <c r="J90" t="s">
        <v>883</v>
      </c>
    </row>
    <row r="91" spans="1:10" x14ac:dyDescent="0.2">
      <c r="A91">
        <v>2.18931326891129E-5</v>
      </c>
      <c r="B91">
        <v>-0.57182452250670102</v>
      </c>
      <c r="C91">
        <v>6.8000000000000005E-2</v>
      </c>
      <c r="D91">
        <v>0.216</v>
      </c>
      <c r="E91">
        <v>0.33897137342553502</v>
      </c>
      <c r="F91" t="s">
        <v>1346</v>
      </c>
      <c r="G91" t="s">
        <v>1347</v>
      </c>
      <c r="H91" t="s">
        <v>1346</v>
      </c>
      <c r="I91" t="str">
        <f>HYPERLINK("https://zfin.org/ZDB-GENE-980526-29")</f>
        <v>https://zfin.org/ZDB-GENE-980526-29</v>
      </c>
      <c r="J91" t="s">
        <v>1345</v>
      </c>
    </row>
    <row r="92" spans="1:10" x14ac:dyDescent="0.2">
      <c r="A92">
        <v>2.2324750819753201E-5</v>
      </c>
      <c r="B92">
        <v>-0.488913053621643</v>
      </c>
      <c r="C92">
        <v>0.112</v>
      </c>
      <c r="D92">
        <v>0.28199999999999997</v>
      </c>
      <c r="E92">
        <v>0.34565411694223902</v>
      </c>
      <c r="F92" t="s">
        <v>2303</v>
      </c>
      <c r="G92" t="s">
        <v>2304</v>
      </c>
      <c r="H92" t="s">
        <v>2303</v>
      </c>
      <c r="I92" t="str">
        <f>HYPERLINK("https://zfin.org/ZDB-GENE-031006-14")</f>
        <v>https://zfin.org/ZDB-GENE-031006-14</v>
      </c>
      <c r="J92" t="s">
        <v>2302</v>
      </c>
    </row>
    <row r="93" spans="1:10" x14ac:dyDescent="0.2">
      <c r="A93">
        <v>2.4413871112864298E-5</v>
      </c>
      <c r="B93">
        <v>-0.26975915653931398</v>
      </c>
      <c r="C93">
        <v>0.83199999999999996</v>
      </c>
      <c r="D93">
        <v>0.91200000000000003</v>
      </c>
      <c r="E93">
        <v>0.37799996644047701</v>
      </c>
      <c r="F93" t="s">
        <v>912</v>
      </c>
      <c r="G93" t="s">
        <v>913</v>
      </c>
      <c r="H93" t="s">
        <v>912</v>
      </c>
      <c r="I93" t="str">
        <f>HYPERLINK("https://zfin.org/ZDB-GENE-030131-8606")</f>
        <v>https://zfin.org/ZDB-GENE-030131-8606</v>
      </c>
      <c r="J93" t="s">
        <v>911</v>
      </c>
    </row>
    <row r="94" spans="1:10" x14ac:dyDescent="0.2">
      <c r="A94">
        <v>2.92841881196386E-5</v>
      </c>
      <c r="B94">
        <v>-0.53778703370314296</v>
      </c>
      <c r="C94">
        <v>1.9E-2</v>
      </c>
      <c r="D94">
        <v>0.13800000000000001</v>
      </c>
      <c r="E94">
        <v>0.45340708465636498</v>
      </c>
      <c r="F94" t="s">
        <v>3051</v>
      </c>
      <c r="G94" t="s">
        <v>3052</v>
      </c>
      <c r="H94" t="s">
        <v>3051</v>
      </c>
      <c r="I94" t="str">
        <f>HYPERLINK("https://zfin.org/ZDB-GENE-030131-9923")</f>
        <v>https://zfin.org/ZDB-GENE-030131-9923</v>
      </c>
      <c r="J94" t="s">
        <v>3050</v>
      </c>
    </row>
    <row r="95" spans="1:10" x14ac:dyDescent="0.2">
      <c r="A95">
        <v>3.3052040027487003E-5</v>
      </c>
      <c r="B95">
        <v>-0.44882722162071698</v>
      </c>
      <c r="C95">
        <v>0.21099999999999999</v>
      </c>
      <c r="D95">
        <v>0.38200000000000001</v>
      </c>
      <c r="E95">
        <v>0.51174473574558099</v>
      </c>
      <c r="F95" t="s">
        <v>2734</v>
      </c>
      <c r="G95" t="s">
        <v>2735</v>
      </c>
      <c r="H95" t="s">
        <v>2734</v>
      </c>
      <c r="I95" t="str">
        <f>HYPERLINK("https://zfin.org/ZDB-GENE-050428-1")</f>
        <v>https://zfin.org/ZDB-GENE-050428-1</v>
      </c>
      <c r="J95" t="s">
        <v>2733</v>
      </c>
    </row>
    <row r="96" spans="1:10" x14ac:dyDescent="0.2">
      <c r="A96">
        <v>3.5279988636662199E-5</v>
      </c>
      <c r="B96">
        <v>-0.51331599814654805</v>
      </c>
      <c r="C96">
        <v>5.6000000000000001E-2</v>
      </c>
      <c r="D96">
        <v>0.19400000000000001</v>
      </c>
      <c r="E96">
        <v>0.54624006406144099</v>
      </c>
      <c r="F96" t="s">
        <v>2193</v>
      </c>
      <c r="G96" t="s">
        <v>2194</v>
      </c>
      <c r="H96" t="s">
        <v>2193</v>
      </c>
      <c r="I96" t="str">
        <f>HYPERLINK("https://zfin.org/ZDB-GENE-040426-977")</f>
        <v>https://zfin.org/ZDB-GENE-040426-977</v>
      </c>
      <c r="J96" t="s">
        <v>2192</v>
      </c>
    </row>
    <row r="97" spans="1:10" x14ac:dyDescent="0.2">
      <c r="A97">
        <v>3.5345854328659501E-5</v>
      </c>
      <c r="B97">
        <v>-0.26578575127026999</v>
      </c>
      <c r="C97">
        <v>0.88200000000000001</v>
      </c>
      <c r="D97">
        <v>0.89700000000000002</v>
      </c>
      <c r="E97">
        <v>0.54725986257063497</v>
      </c>
      <c r="F97" t="s">
        <v>957</v>
      </c>
      <c r="G97" t="s">
        <v>958</v>
      </c>
      <c r="H97" t="s">
        <v>957</v>
      </c>
      <c r="I97" t="str">
        <f>HYPERLINK("https://zfin.org/ZDB-GENE-040426-1788")</f>
        <v>https://zfin.org/ZDB-GENE-040426-1788</v>
      </c>
      <c r="J97" t="s">
        <v>956</v>
      </c>
    </row>
    <row r="98" spans="1:10" x14ac:dyDescent="0.2">
      <c r="A98">
        <v>3.6372522881265599E-5</v>
      </c>
      <c r="B98">
        <v>-0.436024932881864</v>
      </c>
      <c r="C98">
        <v>2.5000000000000001E-2</v>
      </c>
      <c r="D98">
        <v>0.14699999999999999</v>
      </c>
      <c r="E98">
        <v>0.56315577177063503</v>
      </c>
      <c r="F98" t="s">
        <v>1268</v>
      </c>
      <c r="G98" t="s">
        <v>1269</v>
      </c>
      <c r="H98" t="s">
        <v>1268</v>
      </c>
      <c r="I98" t="str">
        <f>HYPERLINK("https://zfin.org/ZDB-GENE-050417-175")</f>
        <v>https://zfin.org/ZDB-GENE-050417-175</v>
      </c>
      <c r="J98" t="s">
        <v>1267</v>
      </c>
    </row>
    <row r="99" spans="1:10" x14ac:dyDescent="0.2">
      <c r="A99">
        <v>3.6792253286130902E-5</v>
      </c>
      <c r="B99">
        <v>-0.36487113259903098</v>
      </c>
      <c r="C99">
        <v>0.78900000000000003</v>
      </c>
      <c r="D99">
        <v>0.82399999999999995</v>
      </c>
      <c r="E99">
        <v>0.569654457629164</v>
      </c>
      <c r="F99" t="s">
        <v>1942</v>
      </c>
      <c r="G99" t="s">
        <v>1943</v>
      </c>
      <c r="H99" t="s">
        <v>1942</v>
      </c>
      <c r="I99" t="str">
        <f>HYPERLINK("https://zfin.org/ZDB-GENE-000210-25")</f>
        <v>https://zfin.org/ZDB-GENE-000210-25</v>
      </c>
      <c r="J99" t="s">
        <v>1941</v>
      </c>
    </row>
    <row r="100" spans="1:10" x14ac:dyDescent="0.2">
      <c r="A100">
        <v>3.7108447304441897E-5</v>
      </c>
      <c r="B100">
        <v>-0.41510078923509403</v>
      </c>
      <c r="C100">
        <v>0.92500000000000004</v>
      </c>
      <c r="D100">
        <v>0.94399999999999995</v>
      </c>
      <c r="E100">
        <v>0.57455008961467402</v>
      </c>
      <c r="F100" t="s">
        <v>1835</v>
      </c>
      <c r="G100" t="s">
        <v>1836</v>
      </c>
      <c r="H100" t="s">
        <v>1835</v>
      </c>
      <c r="I100" t="str">
        <f>HYPERLINK("https://zfin.org/")</f>
        <v>https://zfin.org/</v>
      </c>
    </row>
    <row r="101" spans="1:10" x14ac:dyDescent="0.2">
      <c r="A101">
        <v>4.3711037256911398E-5</v>
      </c>
      <c r="B101">
        <v>-0.43270365465233301</v>
      </c>
      <c r="C101">
        <v>0.26700000000000002</v>
      </c>
      <c r="D101">
        <v>0.439</v>
      </c>
      <c r="E101">
        <v>0.67677798984875903</v>
      </c>
      <c r="F101" t="s">
        <v>306</v>
      </c>
      <c r="G101" t="s">
        <v>307</v>
      </c>
      <c r="H101" t="s">
        <v>306</v>
      </c>
      <c r="I101" t="str">
        <f>HYPERLINK("https://zfin.org/ZDB-GENE-141215-49")</f>
        <v>https://zfin.org/ZDB-GENE-141215-49</v>
      </c>
      <c r="J101" t="s">
        <v>308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F5D6D-AE53-1242-8F73-6B43AEE02907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6.16406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4.9695500430686703E-239</v>
      </c>
      <c r="B2">
        <v>1.6136870274384501</v>
      </c>
      <c r="C2">
        <v>0.76400000000000001</v>
      </c>
      <c r="D2">
        <v>3.0000000000000001E-3</v>
      </c>
      <c r="E2">
        <v>7.6943543316832298E-235</v>
      </c>
      <c r="F2" t="s">
        <v>607</v>
      </c>
      <c r="G2" t="s">
        <v>608</v>
      </c>
      <c r="H2" t="s">
        <v>607</v>
      </c>
      <c r="I2" t="str">
        <f>HYPERLINK("https://zfin.org/ZDB-GENE-060526-262")</f>
        <v>https://zfin.org/ZDB-GENE-060526-262</v>
      </c>
      <c r="J2" t="s">
        <v>606</v>
      </c>
    </row>
    <row r="3" spans="1:10" x14ac:dyDescent="0.2">
      <c r="A3">
        <v>4.9310742749482198E-220</v>
      </c>
      <c r="B3">
        <v>1.5540640603395599</v>
      </c>
      <c r="C3">
        <v>0.82799999999999996</v>
      </c>
      <c r="D3">
        <v>2.1999999999999999E-2</v>
      </c>
      <c r="E3">
        <v>7.6347822999023297E-216</v>
      </c>
      <c r="F3" t="s">
        <v>604</v>
      </c>
      <c r="G3" t="s">
        <v>605</v>
      </c>
      <c r="H3" t="s">
        <v>604</v>
      </c>
      <c r="I3" t="str">
        <f>HYPERLINK("https://zfin.org/ZDB-GENE-070705-158")</f>
        <v>https://zfin.org/ZDB-GENE-070705-158</v>
      </c>
      <c r="J3" t="s">
        <v>603</v>
      </c>
    </row>
    <row r="4" spans="1:10" x14ac:dyDescent="0.2">
      <c r="A4">
        <v>4.8088879024531497E-215</v>
      </c>
      <c r="B4">
        <v>2.00330692992847</v>
      </c>
      <c r="C4">
        <v>0.874</v>
      </c>
      <c r="D4">
        <v>3.5999999999999997E-2</v>
      </c>
      <c r="E4">
        <v>7.44560113936822E-211</v>
      </c>
      <c r="F4" t="s">
        <v>601</v>
      </c>
      <c r="G4" t="s">
        <v>602</v>
      </c>
      <c r="H4" t="s">
        <v>601</v>
      </c>
      <c r="I4" t="str">
        <f>HYPERLINK("https://zfin.org/")</f>
        <v>https://zfin.org/</v>
      </c>
    </row>
    <row r="5" spans="1:10" x14ac:dyDescent="0.2">
      <c r="A5">
        <v>1.8777115035418301E-214</v>
      </c>
      <c r="B5">
        <v>1.7207059718751301</v>
      </c>
      <c r="C5">
        <v>0.83299999999999996</v>
      </c>
      <c r="D5">
        <v>2.7E-2</v>
      </c>
      <c r="E5">
        <v>2.9072607209338101E-210</v>
      </c>
      <c r="F5" t="s">
        <v>599</v>
      </c>
      <c r="G5" t="s">
        <v>600</v>
      </c>
      <c r="H5" t="s">
        <v>599</v>
      </c>
      <c r="I5" t="str">
        <f>HYPERLINK("https://zfin.org/ZDB-GENE-070718-1")</f>
        <v>https://zfin.org/ZDB-GENE-070718-1</v>
      </c>
      <c r="J5" t="s">
        <v>598</v>
      </c>
    </row>
    <row r="6" spans="1:10" x14ac:dyDescent="0.2">
      <c r="A6">
        <v>1.28450331183985E-213</v>
      </c>
      <c r="B6">
        <v>1.4157208092953599</v>
      </c>
      <c r="C6">
        <v>0.76400000000000001</v>
      </c>
      <c r="D6">
        <v>1.2999999999999999E-2</v>
      </c>
      <c r="E6">
        <v>1.98879647772165E-209</v>
      </c>
      <c r="F6" t="s">
        <v>596</v>
      </c>
      <c r="G6" t="s">
        <v>597</v>
      </c>
      <c r="H6" t="s">
        <v>596</v>
      </c>
      <c r="I6" t="str">
        <f>HYPERLINK("https://zfin.org/ZDB-GENE-050419-255")</f>
        <v>https://zfin.org/ZDB-GENE-050419-255</v>
      </c>
      <c r="J6" t="s">
        <v>595</v>
      </c>
    </row>
    <row r="7" spans="1:10" x14ac:dyDescent="0.2">
      <c r="A7">
        <v>3.0240935223938001E-209</v>
      </c>
      <c r="B7">
        <v>1.64330737858543</v>
      </c>
      <c r="C7">
        <v>0.82799999999999996</v>
      </c>
      <c r="D7">
        <v>2.8000000000000001E-2</v>
      </c>
      <c r="E7">
        <v>4.68220400072232E-205</v>
      </c>
      <c r="F7" t="s">
        <v>593</v>
      </c>
      <c r="G7" t="s">
        <v>594</v>
      </c>
      <c r="H7" t="s">
        <v>593</v>
      </c>
      <c r="I7" t="str">
        <f>HYPERLINK("https://zfin.org/ZDB-GENE-050413-1")</f>
        <v>https://zfin.org/ZDB-GENE-050413-1</v>
      </c>
      <c r="J7" t="s">
        <v>592</v>
      </c>
    </row>
    <row r="8" spans="1:10" x14ac:dyDescent="0.2">
      <c r="A8">
        <v>2.9555150741265097E-206</v>
      </c>
      <c r="B8">
        <v>2.3314437136956099</v>
      </c>
      <c r="C8">
        <v>0.92500000000000004</v>
      </c>
      <c r="D8">
        <v>5.6000000000000001E-2</v>
      </c>
      <c r="E8">
        <v>4.5760239892700699E-202</v>
      </c>
      <c r="F8" t="s">
        <v>590</v>
      </c>
      <c r="G8" t="s">
        <v>591</v>
      </c>
      <c r="H8" t="s">
        <v>590</v>
      </c>
      <c r="I8" t="str">
        <f>HYPERLINK("https://zfin.org/ZDB-GENE-061114-1")</f>
        <v>https://zfin.org/ZDB-GENE-061114-1</v>
      </c>
      <c r="J8" t="s">
        <v>589</v>
      </c>
    </row>
    <row r="9" spans="1:10" x14ac:dyDescent="0.2">
      <c r="A9">
        <v>4.8951562134871202E-206</v>
      </c>
      <c r="B9">
        <v>2.5347388932969399</v>
      </c>
      <c r="C9">
        <v>0.96599999999999997</v>
      </c>
      <c r="D9">
        <v>0.08</v>
      </c>
      <c r="E9">
        <v>7.5791703653421E-202</v>
      </c>
      <c r="F9" t="s">
        <v>587</v>
      </c>
      <c r="G9" t="s">
        <v>588</v>
      </c>
      <c r="H9" t="s">
        <v>587</v>
      </c>
      <c r="I9" t="str">
        <f>HYPERLINK("https://zfin.org/ZDB-GENE-030925-29")</f>
        <v>https://zfin.org/ZDB-GENE-030925-29</v>
      </c>
      <c r="J9" t="s">
        <v>586</v>
      </c>
    </row>
    <row r="10" spans="1:10" x14ac:dyDescent="0.2">
      <c r="A10">
        <v>9.0014096250748595E-202</v>
      </c>
      <c r="B10">
        <v>2.6029357122281902</v>
      </c>
      <c r="C10">
        <v>0.98299999999999998</v>
      </c>
      <c r="D10">
        <v>8.2000000000000003E-2</v>
      </c>
      <c r="E10">
        <v>1.3936882522503399E-197</v>
      </c>
      <c r="F10" t="s">
        <v>584</v>
      </c>
      <c r="G10" t="s">
        <v>585</v>
      </c>
      <c r="H10" t="s">
        <v>584</v>
      </c>
      <c r="I10" t="str">
        <f>HYPERLINK("https://zfin.org/ZDB-GENE-090507-4")</f>
        <v>https://zfin.org/ZDB-GENE-090507-4</v>
      </c>
      <c r="J10" t="s">
        <v>583</v>
      </c>
    </row>
    <row r="11" spans="1:10" x14ac:dyDescent="0.2">
      <c r="A11">
        <v>1.55738301666371E-195</v>
      </c>
      <c r="B11">
        <v>1.8125145846890001</v>
      </c>
      <c r="C11">
        <v>0.879</v>
      </c>
      <c r="D11">
        <v>5.3999999999999999E-2</v>
      </c>
      <c r="E11">
        <v>2.41129612470042E-191</v>
      </c>
      <c r="F11" t="s">
        <v>581</v>
      </c>
      <c r="G11" t="s">
        <v>582</v>
      </c>
      <c r="H11" t="s">
        <v>581</v>
      </c>
      <c r="I11" t="str">
        <f>HYPERLINK("https://zfin.org/ZDB-GENE-050320-33")</f>
        <v>https://zfin.org/ZDB-GENE-050320-33</v>
      </c>
      <c r="J11" t="s">
        <v>580</v>
      </c>
    </row>
    <row r="12" spans="1:10" x14ac:dyDescent="0.2">
      <c r="A12">
        <v>1.8561406807658701E-195</v>
      </c>
      <c r="B12">
        <v>1.2095891848574301</v>
      </c>
      <c r="C12">
        <v>0.70699999999999996</v>
      </c>
      <c r="D12">
        <v>1.2999999999999999E-2</v>
      </c>
      <c r="E12">
        <v>2.8738626160298003E-191</v>
      </c>
      <c r="F12" t="s">
        <v>578</v>
      </c>
      <c r="G12" t="s">
        <v>579</v>
      </c>
      <c r="H12" t="s">
        <v>578</v>
      </c>
      <c r="I12" t="str">
        <f>HYPERLINK("https://zfin.org/ZDB-GENE-040426-1804")</f>
        <v>https://zfin.org/ZDB-GENE-040426-1804</v>
      </c>
      <c r="J12" t="s">
        <v>577</v>
      </c>
    </row>
    <row r="13" spans="1:10" x14ac:dyDescent="0.2">
      <c r="A13">
        <v>4.8893955310918704E-195</v>
      </c>
      <c r="B13">
        <v>1.0289136497124001</v>
      </c>
      <c r="C13">
        <v>0.69</v>
      </c>
      <c r="D13">
        <v>0.01</v>
      </c>
      <c r="E13">
        <v>7.5702511007895506E-191</v>
      </c>
      <c r="F13" t="s">
        <v>575</v>
      </c>
      <c r="G13" t="s">
        <v>576</v>
      </c>
      <c r="H13" t="s">
        <v>575</v>
      </c>
      <c r="I13" t="str">
        <f>HYPERLINK("https://zfin.org/ZDB-GENE-041114-99")</f>
        <v>https://zfin.org/ZDB-GENE-041114-99</v>
      </c>
      <c r="J13" t="s">
        <v>574</v>
      </c>
    </row>
    <row r="14" spans="1:10" x14ac:dyDescent="0.2">
      <c r="A14">
        <v>7.1888042341370697E-194</v>
      </c>
      <c r="B14">
        <v>1.3905717327313001</v>
      </c>
      <c r="C14">
        <v>0.82199999999999995</v>
      </c>
      <c r="D14">
        <v>3.5999999999999997E-2</v>
      </c>
      <c r="E14">
        <v>1.11304255957144E-189</v>
      </c>
      <c r="F14" t="s">
        <v>572</v>
      </c>
      <c r="G14" t="s">
        <v>573</v>
      </c>
      <c r="H14" t="s">
        <v>572</v>
      </c>
      <c r="I14" t="str">
        <f>HYPERLINK("https://zfin.org/ZDB-GENE-040426-833")</f>
        <v>https://zfin.org/ZDB-GENE-040426-833</v>
      </c>
      <c r="J14" t="s">
        <v>571</v>
      </c>
    </row>
    <row r="15" spans="1:10" x14ac:dyDescent="0.2">
      <c r="A15">
        <v>4.2388365776392204E-192</v>
      </c>
      <c r="B15">
        <v>1.97678628374459</v>
      </c>
      <c r="C15">
        <v>0.89100000000000001</v>
      </c>
      <c r="D15">
        <v>0.06</v>
      </c>
      <c r="E15">
        <v>6.5629906731588002E-188</v>
      </c>
      <c r="F15" t="s">
        <v>569</v>
      </c>
      <c r="G15" t="s">
        <v>570</v>
      </c>
      <c r="H15" t="s">
        <v>569</v>
      </c>
      <c r="I15" t="str">
        <f>HYPERLINK("https://zfin.org/ZDB-GENE-041010-45")</f>
        <v>https://zfin.org/ZDB-GENE-041010-45</v>
      </c>
      <c r="J15" t="s">
        <v>568</v>
      </c>
    </row>
    <row r="16" spans="1:10" x14ac:dyDescent="0.2">
      <c r="A16">
        <v>1.11896950857961E-190</v>
      </c>
      <c r="B16">
        <v>1.7805620785513501</v>
      </c>
      <c r="C16">
        <v>0.89700000000000002</v>
      </c>
      <c r="D16">
        <v>6.0999999999999999E-2</v>
      </c>
      <c r="E16">
        <v>1.7325004901338001E-186</v>
      </c>
      <c r="F16" t="s">
        <v>566</v>
      </c>
      <c r="G16" t="s">
        <v>567</v>
      </c>
      <c r="H16" t="s">
        <v>566</v>
      </c>
      <c r="I16" t="str">
        <f>HYPERLINK("https://zfin.org/ZDB-GENE-060616-326")</f>
        <v>https://zfin.org/ZDB-GENE-060616-326</v>
      </c>
      <c r="J16" t="s">
        <v>565</v>
      </c>
    </row>
    <row r="17" spans="1:10" x14ac:dyDescent="0.2">
      <c r="A17">
        <v>2.9389960065559601E-189</v>
      </c>
      <c r="B17">
        <v>1.71824037644697</v>
      </c>
      <c r="C17">
        <v>0.82799999999999996</v>
      </c>
      <c r="D17">
        <v>4.1000000000000002E-2</v>
      </c>
      <c r="E17">
        <v>4.5504475169505898E-185</v>
      </c>
      <c r="F17" t="s">
        <v>563</v>
      </c>
      <c r="G17" t="s">
        <v>564</v>
      </c>
      <c r="H17" t="s">
        <v>563</v>
      </c>
      <c r="I17" t="str">
        <f>HYPERLINK("https://zfin.org/ZDB-GENE-061013-378")</f>
        <v>https://zfin.org/ZDB-GENE-061013-378</v>
      </c>
      <c r="J17" t="s">
        <v>562</v>
      </c>
    </row>
    <row r="18" spans="1:10" x14ac:dyDescent="0.2">
      <c r="A18">
        <v>3.7114043162197499E-189</v>
      </c>
      <c r="B18">
        <v>1.7670445713023299</v>
      </c>
      <c r="C18">
        <v>0.83899999999999997</v>
      </c>
      <c r="D18">
        <v>4.5999999999999999E-2</v>
      </c>
      <c r="E18">
        <v>5.7463673028030297E-185</v>
      </c>
      <c r="F18" t="s">
        <v>560</v>
      </c>
      <c r="G18" t="s">
        <v>561</v>
      </c>
      <c r="H18" t="s">
        <v>560</v>
      </c>
      <c r="I18" t="str">
        <f>HYPERLINK("https://zfin.org/ZDB-GENE-131127-514")</f>
        <v>https://zfin.org/ZDB-GENE-131127-514</v>
      </c>
      <c r="J18" t="s">
        <v>559</v>
      </c>
    </row>
    <row r="19" spans="1:10" x14ac:dyDescent="0.2">
      <c r="A19">
        <v>7.3019761884468603E-188</v>
      </c>
      <c r="B19">
        <v>1.65650932339515</v>
      </c>
      <c r="C19">
        <v>0.77</v>
      </c>
      <c r="D19">
        <v>0.03</v>
      </c>
      <c r="E19">
        <v>1.13056497325723E-183</v>
      </c>
      <c r="F19" t="s">
        <v>557</v>
      </c>
      <c r="G19" t="s">
        <v>558</v>
      </c>
      <c r="H19" t="s">
        <v>557</v>
      </c>
      <c r="I19" t="str">
        <f>HYPERLINK("https://zfin.org/ZDB-GENE-030804-7")</f>
        <v>https://zfin.org/ZDB-GENE-030804-7</v>
      </c>
      <c r="J19" t="s">
        <v>556</v>
      </c>
    </row>
    <row r="20" spans="1:10" x14ac:dyDescent="0.2">
      <c r="A20">
        <v>7.9455250011643999E-187</v>
      </c>
      <c r="B20">
        <v>2.45463142239177</v>
      </c>
      <c r="C20">
        <v>1</v>
      </c>
      <c r="D20">
        <v>0.106</v>
      </c>
      <c r="E20">
        <v>1.2302056359302799E-182</v>
      </c>
      <c r="F20" t="s">
        <v>554</v>
      </c>
      <c r="G20" t="s">
        <v>555</v>
      </c>
      <c r="H20" t="s">
        <v>554</v>
      </c>
      <c r="I20" t="str">
        <f>HYPERLINK("https://zfin.org/ZDB-GENE-040628-1")</f>
        <v>https://zfin.org/ZDB-GENE-040628-1</v>
      </c>
      <c r="J20" t="s">
        <v>553</v>
      </c>
    </row>
    <row r="21" spans="1:10" x14ac:dyDescent="0.2">
      <c r="A21">
        <v>8.7133975445160497E-186</v>
      </c>
      <c r="B21">
        <v>1.2674664369061699</v>
      </c>
      <c r="C21">
        <v>0.70699999999999996</v>
      </c>
      <c r="D21">
        <v>1.7000000000000001E-2</v>
      </c>
      <c r="E21">
        <v>1.3490953418174201E-181</v>
      </c>
      <c r="F21" t="s">
        <v>551</v>
      </c>
      <c r="G21" t="s">
        <v>552</v>
      </c>
      <c r="H21" t="s">
        <v>551</v>
      </c>
      <c r="I21" t="str">
        <f>HYPERLINK("https://zfin.org/ZDB-GENE-080220-51")</f>
        <v>https://zfin.org/ZDB-GENE-080220-51</v>
      </c>
      <c r="J21" t="s">
        <v>550</v>
      </c>
    </row>
    <row r="22" spans="1:10" x14ac:dyDescent="0.2">
      <c r="A22">
        <v>2.89465050924721E-185</v>
      </c>
      <c r="B22">
        <v>1.0411947239555199</v>
      </c>
      <c r="C22">
        <v>0.68400000000000005</v>
      </c>
      <c r="D22">
        <v>1.2999999999999999E-2</v>
      </c>
      <c r="E22">
        <v>4.4817873834674599E-181</v>
      </c>
      <c r="F22" t="s">
        <v>548</v>
      </c>
      <c r="G22" t="s">
        <v>549</v>
      </c>
      <c r="H22" t="s">
        <v>548</v>
      </c>
      <c r="I22" t="str">
        <f>HYPERLINK("https://zfin.org/ZDB-GENE-030131-4127")</f>
        <v>https://zfin.org/ZDB-GENE-030131-4127</v>
      </c>
      <c r="J22" t="s">
        <v>547</v>
      </c>
    </row>
    <row r="23" spans="1:10" x14ac:dyDescent="0.2">
      <c r="A23">
        <v>3.6861122161053098E-180</v>
      </c>
      <c r="B23">
        <v>1.10832521704383</v>
      </c>
      <c r="C23">
        <v>0.68400000000000005</v>
      </c>
      <c r="D23">
        <v>1.6E-2</v>
      </c>
      <c r="E23">
        <v>5.7072075441958501E-176</v>
      </c>
      <c r="F23" t="s">
        <v>545</v>
      </c>
      <c r="G23" t="s">
        <v>546</v>
      </c>
      <c r="H23" t="s">
        <v>545</v>
      </c>
      <c r="I23" t="str">
        <f>HYPERLINK("https://zfin.org/ZDB-GENE-040718-221")</f>
        <v>https://zfin.org/ZDB-GENE-040718-221</v>
      </c>
      <c r="J23" t="s">
        <v>544</v>
      </c>
    </row>
    <row r="24" spans="1:10" x14ac:dyDescent="0.2">
      <c r="A24">
        <v>8.3807897861840606E-180</v>
      </c>
      <c r="B24">
        <v>1.8043046415312101</v>
      </c>
      <c r="C24">
        <v>0.85599999999999998</v>
      </c>
      <c r="D24">
        <v>5.8999999999999997E-2</v>
      </c>
      <c r="E24">
        <v>1.2975976825948801E-175</v>
      </c>
      <c r="F24" t="s">
        <v>542</v>
      </c>
      <c r="G24" t="s">
        <v>543</v>
      </c>
      <c r="H24" t="s">
        <v>542</v>
      </c>
      <c r="I24" t="str">
        <f>HYPERLINK("https://zfin.org/ZDB-GENE-050522-238")</f>
        <v>https://zfin.org/ZDB-GENE-050522-238</v>
      </c>
      <c r="J24" t="s">
        <v>541</v>
      </c>
    </row>
    <row r="25" spans="1:10" x14ac:dyDescent="0.2">
      <c r="A25">
        <v>2.9597306859914501E-179</v>
      </c>
      <c r="B25">
        <v>1.6421896270109</v>
      </c>
      <c r="C25">
        <v>0.81</v>
      </c>
      <c r="D25">
        <v>4.4999999999999998E-2</v>
      </c>
      <c r="E25">
        <v>4.5825510211205697E-175</v>
      </c>
      <c r="F25" t="s">
        <v>539</v>
      </c>
      <c r="G25" t="s">
        <v>540</v>
      </c>
      <c r="H25" t="s">
        <v>539</v>
      </c>
      <c r="I25" t="str">
        <f>HYPERLINK("https://zfin.org/ZDB-GENE-010718-1")</f>
        <v>https://zfin.org/ZDB-GENE-010718-1</v>
      </c>
      <c r="J25" t="s">
        <v>538</v>
      </c>
    </row>
    <row r="26" spans="1:10" x14ac:dyDescent="0.2">
      <c r="A26">
        <v>2.14760796991568E-178</v>
      </c>
      <c r="B26">
        <v>1.31051126448658</v>
      </c>
      <c r="C26">
        <v>0.65500000000000003</v>
      </c>
      <c r="D26">
        <v>1.2E-2</v>
      </c>
      <c r="E26">
        <v>3.3251414198204499E-174</v>
      </c>
      <c r="F26" t="s">
        <v>537</v>
      </c>
      <c r="G26" t="s">
        <v>536</v>
      </c>
      <c r="H26" t="s">
        <v>535</v>
      </c>
      <c r="I26" t="str">
        <f>HYPERLINK("https://zfin.org/ZDB-GENE-040426-1687")</f>
        <v>https://zfin.org/ZDB-GENE-040426-1687</v>
      </c>
      <c r="J26" t="s">
        <v>534</v>
      </c>
    </row>
    <row r="27" spans="1:10" x14ac:dyDescent="0.2">
      <c r="A27">
        <v>4.5798063901263203E-178</v>
      </c>
      <c r="B27">
        <v>1.26898584365763</v>
      </c>
      <c r="C27">
        <v>0.71299999999999997</v>
      </c>
      <c r="D27">
        <v>2.1999999999999999E-2</v>
      </c>
      <c r="E27">
        <v>7.0909142338325802E-174</v>
      </c>
      <c r="F27" t="s">
        <v>532</v>
      </c>
      <c r="G27" t="s">
        <v>533</v>
      </c>
      <c r="H27" t="s">
        <v>532</v>
      </c>
      <c r="I27" t="str">
        <f>HYPERLINK("https://zfin.org/ZDB-GENE-141219-8")</f>
        <v>https://zfin.org/ZDB-GENE-141219-8</v>
      </c>
      <c r="J27" t="s">
        <v>531</v>
      </c>
    </row>
    <row r="28" spans="1:10" x14ac:dyDescent="0.2">
      <c r="A28">
        <v>6.7501472043876201E-177</v>
      </c>
      <c r="B28">
        <v>1.11105430534017</v>
      </c>
      <c r="C28">
        <v>0.65500000000000003</v>
      </c>
      <c r="D28">
        <v>1.2999999999999999E-2</v>
      </c>
      <c r="E28">
        <v>1.04512529165534E-172</v>
      </c>
      <c r="F28" t="s">
        <v>529</v>
      </c>
      <c r="G28" t="s">
        <v>530</v>
      </c>
      <c r="H28" t="s">
        <v>529</v>
      </c>
      <c r="I28" t="str">
        <f>HYPERLINK("https://zfin.org/ZDB-GENE-111118-2")</f>
        <v>https://zfin.org/ZDB-GENE-111118-2</v>
      </c>
      <c r="J28" t="s">
        <v>528</v>
      </c>
    </row>
    <row r="29" spans="1:10" x14ac:dyDescent="0.2">
      <c r="A29">
        <v>1.4522579411760599E-175</v>
      </c>
      <c r="B29">
        <v>1.3066337860419499</v>
      </c>
      <c r="C29">
        <v>0.71799999999999997</v>
      </c>
      <c r="D29">
        <v>2.4E-2</v>
      </c>
      <c r="E29">
        <v>2.2485309703229E-171</v>
      </c>
      <c r="F29" t="s">
        <v>526</v>
      </c>
      <c r="G29" t="s">
        <v>527</v>
      </c>
      <c r="H29" t="s">
        <v>526</v>
      </c>
      <c r="I29" t="str">
        <f>HYPERLINK("https://zfin.org/ZDB-GENE-001212-8")</f>
        <v>https://zfin.org/ZDB-GENE-001212-8</v>
      </c>
      <c r="J29" t="s">
        <v>525</v>
      </c>
    </row>
    <row r="30" spans="1:10" x14ac:dyDescent="0.2">
      <c r="A30">
        <v>5.22318879283414E-174</v>
      </c>
      <c r="B30">
        <v>1.0063281260065999</v>
      </c>
      <c r="C30">
        <v>0.63800000000000001</v>
      </c>
      <c r="D30">
        <v>1.0999999999999999E-2</v>
      </c>
      <c r="E30">
        <v>8.0870632079450999E-170</v>
      </c>
      <c r="F30" t="s">
        <v>523</v>
      </c>
      <c r="G30" t="s">
        <v>524</v>
      </c>
      <c r="H30" t="s">
        <v>523</v>
      </c>
      <c r="I30" t="str">
        <f>HYPERLINK("https://zfin.org/ZDB-GENE-041111-13")</f>
        <v>https://zfin.org/ZDB-GENE-041111-13</v>
      </c>
      <c r="J30" t="s">
        <v>522</v>
      </c>
    </row>
    <row r="31" spans="1:10" x14ac:dyDescent="0.2">
      <c r="A31">
        <v>1.20722089986455E-173</v>
      </c>
      <c r="B31">
        <v>1.3380645280374199</v>
      </c>
      <c r="C31">
        <v>0.67800000000000005</v>
      </c>
      <c r="D31">
        <v>1.9E-2</v>
      </c>
      <c r="E31">
        <v>1.86914011926028E-169</v>
      </c>
      <c r="F31" t="s">
        <v>520</v>
      </c>
      <c r="G31" t="s">
        <v>521</v>
      </c>
      <c r="H31" t="s">
        <v>520</v>
      </c>
      <c r="I31" t="str">
        <f>HYPERLINK("https://zfin.org/ZDB-GENE-081022-199")</f>
        <v>https://zfin.org/ZDB-GENE-081022-199</v>
      </c>
      <c r="J31" t="s">
        <v>519</v>
      </c>
    </row>
    <row r="32" spans="1:10" x14ac:dyDescent="0.2">
      <c r="A32">
        <v>4.77280068633179E-173</v>
      </c>
      <c r="B32">
        <v>1.03698234378015</v>
      </c>
      <c r="C32">
        <v>0.64400000000000002</v>
      </c>
      <c r="D32">
        <v>1.2999999999999999E-2</v>
      </c>
      <c r="E32">
        <v>7.3897273026475095E-169</v>
      </c>
      <c r="F32" t="s">
        <v>517</v>
      </c>
      <c r="G32" t="s">
        <v>518</v>
      </c>
      <c r="H32" t="s">
        <v>517</v>
      </c>
      <c r="I32" t="str">
        <f>HYPERLINK("https://zfin.org/ZDB-GENE-040704-24")</f>
        <v>https://zfin.org/ZDB-GENE-040704-24</v>
      </c>
      <c r="J32" t="s">
        <v>516</v>
      </c>
    </row>
    <row r="33" spans="1:10" x14ac:dyDescent="0.2">
      <c r="A33">
        <v>8.87740753789963E-172</v>
      </c>
      <c r="B33">
        <v>1.1474806723401001</v>
      </c>
      <c r="C33">
        <v>0.64400000000000002</v>
      </c>
      <c r="D33">
        <v>1.2999999999999999E-2</v>
      </c>
      <c r="E33">
        <v>1.3744890090930001E-167</v>
      </c>
      <c r="F33" t="s">
        <v>514</v>
      </c>
      <c r="G33" t="s">
        <v>515</v>
      </c>
      <c r="H33" t="s">
        <v>514</v>
      </c>
      <c r="I33" t="str">
        <f>HYPERLINK("https://zfin.org/ZDB-GENE-050522-534")</f>
        <v>https://zfin.org/ZDB-GENE-050522-534</v>
      </c>
      <c r="J33" t="s">
        <v>513</v>
      </c>
    </row>
    <row r="34" spans="1:10" x14ac:dyDescent="0.2">
      <c r="A34">
        <v>3.8695491977031199E-171</v>
      </c>
      <c r="B34">
        <v>1.4868555598726101</v>
      </c>
      <c r="C34">
        <v>0.65500000000000003</v>
      </c>
      <c r="D34">
        <v>1.6E-2</v>
      </c>
      <c r="E34">
        <v>5.9912230228037398E-167</v>
      </c>
      <c r="F34" t="s">
        <v>512</v>
      </c>
      <c r="G34" t="s">
        <v>511</v>
      </c>
      <c r="H34" t="s">
        <v>510</v>
      </c>
      <c r="I34" t="str">
        <f>HYPERLINK("https://zfin.org/ZDB-GENE-030131-9116")</f>
        <v>https://zfin.org/ZDB-GENE-030131-9116</v>
      </c>
      <c r="J34" t="s">
        <v>509</v>
      </c>
    </row>
    <row r="35" spans="1:10" x14ac:dyDescent="0.2">
      <c r="A35">
        <v>4.6580455118232897E-171</v>
      </c>
      <c r="B35">
        <v>1.16280240587494</v>
      </c>
      <c r="C35">
        <v>0.67200000000000004</v>
      </c>
      <c r="D35">
        <v>1.7999999999999999E-2</v>
      </c>
      <c r="E35">
        <v>7.2120518659559999E-167</v>
      </c>
      <c r="F35" t="s">
        <v>507</v>
      </c>
      <c r="G35" t="s">
        <v>508</v>
      </c>
      <c r="H35" t="s">
        <v>507</v>
      </c>
      <c r="I35" t="str">
        <f>HYPERLINK("https://zfin.org/ZDB-GENE-100913-3")</f>
        <v>https://zfin.org/ZDB-GENE-100913-3</v>
      </c>
      <c r="J35" t="s">
        <v>506</v>
      </c>
    </row>
    <row r="36" spans="1:10" x14ac:dyDescent="0.2">
      <c r="A36">
        <v>1.0553176637172E-170</v>
      </c>
      <c r="B36">
        <v>2.2133190700073699</v>
      </c>
      <c r="C36">
        <v>0.88500000000000001</v>
      </c>
      <c r="D36">
        <v>8.5000000000000006E-2</v>
      </c>
      <c r="E36">
        <v>1.63394833873334E-166</v>
      </c>
      <c r="F36" t="s">
        <v>504</v>
      </c>
      <c r="G36" t="s">
        <v>505</v>
      </c>
      <c r="H36" t="s">
        <v>504</v>
      </c>
      <c r="I36" t="str">
        <f>HYPERLINK("https://zfin.org/ZDB-GENE-081022-9")</f>
        <v>https://zfin.org/ZDB-GENE-081022-9</v>
      </c>
      <c r="J36" t="s">
        <v>503</v>
      </c>
    </row>
    <row r="37" spans="1:10" x14ac:dyDescent="0.2">
      <c r="A37">
        <v>3.5034901663424003E-170</v>
      </c>
      <c r="B37">
        <v>1.3820557600322401</v>
      </c>
      <c r="C37">
        <v>0.67200000000000004</v>
      </c>
      <c r="D37">
        <v>1.9E-2</v>
      </c>
      <c r="E37">
        <v>5.4244538245479398E-166</v>
      </c>
      <c r="F37" t="s">
        <v>501</v>
      </c>
      <c r="G37" t="s">
        <v>502</v>
      </c>
      <c r="H37" t="s">
        <v>501</v>
      </c>
      <c r="I37" t="str">
        <f>HYPERLINK("https://zfin.org/ZDB-GENE-000523-2")</f>
        <v>https://zfin.org/ZDB-GENE-000523-2</v>
      </c>
      <c r="J37" t="s">
        <v>500</v>
      </c>
    </row>
    <row r="38" spans="1:10" x14ac:dyDescent="0.2">
      <c r="A38">
        <v>6.5584723064850401E-170</v>
      </c>
      <c r="B38">
        <v>1.2480339195977299</v>
      </c>
      <c r="C38">
        <v>0.64900000000000002</v>
      </c>
      <c r="D38">
        <v>1.6E-2</v>
      </c>
      <c r="E38">
        <v>1.01544826721308E-165</v>
      </c>
      <c r="F38" t="s">
        <v>498</v>
      </c>
      <c r="G38" t="s">
        <v>499</v>
      </c>
      <c r="H38" t="s">
        <v>498</v>
      </c>
      <c r="I38" t="str">
        <f>HYPERLINK("https://zfin.org/ZDB-GENE-041014-83")</f>
        <v>https://zfin.org/ZDB-GENE-041014-83</v>
      </c>
      <c r="J38" t="s">
        <v>497</v>
      </c>
    </row>
    <row r="39" spans="1:10" x14ac:dyDescent="0.2">
      <c r="A39">
        <v>7.2348166300396893E-170</v>
      </c>
      <c r="B39">
        <v>1.31897626716734</v>
      </c>
      <c r="C39">
        <v>0.66700000000000004</v>
      </c>
      <c r="D39">
        <v>1.9E-2</v>
      </c>
      <c r="E39">
        <v>1.1201666588290501E-165</v>
      </c>
      <c r="F39" t="s">
        <v>495</v>
      </c>
      <c r="G39" t="s">
        <v>496</v>
      </c>
      <c r="H39" t="s">
        <v>495</v>
      </c>
      <c r="I39" t="str">
        <f>HYPERLINK("https://zfin.org/ZDB-GENE-140106-61")</f>
        <v>https://zfin.org/ZDB-GENE-140106-61</v>
      </c>
      <c r="J39" t="s">
        <v>494</v>
      </c>
    </row>
    <row r="40" spans="1:10" x14ac:dyDescent="0.2">
      <c r="A40">
        <v>3.3099667678478298E-169</v>
      </c>
      <c r="B40">
        <v>0.94464603001528402</v>
      </c>
      <c r="C40">
        <v>0.59199999999999997</v>
      </c>
      <c r="D40">
        <v>7.0000000000000001E-3</v>
      </c>
      <c r="E40">
        <v>5.1248215466587998E-165</v>
      </c>
      <c r="F40" t="s">
        <v>492</v>
      </c>
      <c r="G40" t="s">
        <v>493</v>
      </c>
      <c r="H40" t="s">
        <v>492</v>
      </c>
      <c r="I40" t="str">
        <f>HYPERLINK("https://zfin.org/ZDB-GENE-041014-39")</f>
        <v>https://zfin.org/ZDB-GENE-041014-39</v>
      </c>
      <c r="J40" t="s">
        <v>491</v>
      </c>
    </row>
    <row r="41" spans="1:10" x14ac:dyDescent="0.2">
      <c r="A41">
        <v>5.70245328723449E-169</v>
      </c>
      <c r="B41">
        <v>0.84856463097433499</v>
      </c>
      <c r="C41">
        <v>0.56899999999999995</v>
      </c>
      <c r="D41">
        <v>4.0000000000000001E-3</v>
      </c>
      <c r="E41">
        <v>8.8291084246251604E-165</v>
      </c>
      <c r="F41" t="s">
        <v>489</v>
      </c>
      <c r="G41" t="s">
        <v>490</v>
      </c>
      <c r="H41" t="s">
        <v>489</v>
      </c>
      <c r="I41" t="str">
        <f>HYPERLINK("https://zfin.org/ZDB-GENE-070912-70")</f>
        <v>https://zfin.org/ZDB-GENE-070912-70</v>
      </c>
      <c r="J41" t="s">
        <v>488</v>
      </c>
    </row>
    <row r="42" spans="1:10" x14ac:dyDescent="0.2">
      <c r="A42">
        <v>4.9926616527905703E-168</v>
      </c>
      <c r="B42">
        <v>1.3919796780723199</v>
      </c>
      <c r="C42">
        <v>0.69</v>
      </c>
      <c r="D42">
        <v>2.4E-2</v>
      </c>
      <c r="E42">
        <v>7.7301380370156407E-164</v>
      </c>
      <c r="F42" t="s">
        <v>486</v>
      </c>
      <c r="G42" t="s">
        <v>487</v>
      </c>
      <c r="H42" t="s">
        <v>486</v>
      </c>
      <c r="I42" t="str">
        <f>HYPERLINK("https://zfin.org/")</f>
        <v>https://zfin.org/</v>
      </c>
      <c r="J42" t="s">
        <v>485</v>
      </c>
    </row>
    <row r="43" spans="1:10" x14ac:dyDescent="0.2">
      <c r="A43">
        <v>1.6525204132828199E-167</v>
      </c>
      <c r="B43">
        <v>2.41403944907954</v>
      </c>
      <c r="C43">
        <v>0.93700000000000006</v>
      </c>
      <c r="D43">
        <v>0.11600000000000001</v>
      </c>
      <c r="E43">
        <v>2.55859735588578E-163</v>
      </c>
      <c r="F43" t="s">
        <v>483</v>
      </c>
      <c r="G43" t="s">
        <v>484</v>
      </c>
      <c r="H43" t="s">
        <v>483</v>
      </c>
      <c r="I43" t="str">
        <f>HYPERLINK("https://zfin.org/ZDB-GENE-110406-5")</f>
        <v>https://zfin.org/ZDB-GENE-110406-5</v>
      </c>
      <c r="J43" t="s">
        <v>482</v>
      </c>
    </row>
    <row r="44" spans="1:10" x14ac:dyDescent="0.2">
      <c r="A44">
        <v>2.11540294126294E-167</v>
      </c>
      <c r="B44">
        <v>1.0725011985585999</v>
      </c>
      <c r="C44">
        <v>0.70099999999999996</v>
      </c>
      <c r="D44">
        <v>2.5000000000000001E-2</v>
      </c>
      <c r="E44">
        <v>3.2752783739574103E-163</v>
      </c>
      <c r="F44" t="s">
        <v>480</v>
      </c>
      <c r="G44" t="s">
        <v>481</v>
      </c>
      <c r="H44" t="s">
        <v>480</v>
      </c>
      <c r="I44" t="str">
        <f>HYPERLINK("https://zfin.org/ZDB-GENE-070912-341")</f>
        <v>https://zfin.org/ZDB-GENE-070912-341</v>
      </c>
      <c r="J44" t="s">
        <v>479</v>
      </c>
    </row>
    <row r="45" spans="1:10" x14ac:dyDescent="0.2">
      <c r="A45">
        <v>3.62451182408301E-167</v>
      </c>
      <c r="B45">
        <v>1.2286137408726701</v>
      </c>
      <c r="C45">
        <v>0.70099999999999996</v>
      </c>
      <c r="D45">
        <v>2.5000000000000001E-2</v>
      </c>
      <c r="E45">
        <v>5.6118316572277198E-163</v>
      </c>
      <c r="F45" t="s">
        <v>477</v>
      </c>
      <c r="G45" t="s">
        <v>478</v>
      </c>
      <c r="H45" t="s">
        <v>477</v>
      </c>
      <c r="I45" t="str">
        <f>HYPERLINK("https://zfin.org/ZDB-GENE-040718-92")</f>
        <v>https://zfin.org/ZDB-GENE-040718-92</v>
      </c>
      <c r="J45" t="s">
        <v>476</v>
      </c>
    </row>
    <row r="46" spans="1:10" x14ac:dyDescent="0.2">
      <c r="A46">
        <v>2.59579219524953E-166</v>
      </c>
      <c r="B46">
        <v>1.21343244425186</v>
      </c>
      <c r="C46">
        <v>0.69499999999999995</v>
      </c>
      <c r="D46">
        <v>2.7E-2</v>
      </c>
      <c r="E46">
        <v>4.0190650559048502E-162</v>
      </c>
      <c r="F46" t="s">
        <v>474</v>
      </c>
      <c r="G46" t="s">
        <v>475</v>
      </c>
      <c r="H46" t="s">
        <v>474</v>
      </c>
      <c r="I46" t="str">
        <f>HYPERLINK("https://zfin.org/ZDB-GENE-040426-1903")</f>
        <v>https://zfin.org/ZDB-GENE-040426-1903</v>
      </c>
      <c r="J46" t="s">
        <v>473</v>
      </c>
    </row>
    <row r="47" spans="1:10" x14ac:dyDescent="0.2">
      <c r="A47">
        <v>1.92897308807099E-165</v>
      </c>
      <c r="B47">
        <v>1.21820448472631</v>
      </c>
      <c r="C47">
        <v>0.64400000000000002</v>
      </c>
      <c r="D47">
        <v>1.6E-2</v>
      </c>
      <c r="E47">
        <v>2.9866290322603101E-161</v>
      </c>
      <c r="F47" t="s">
        <v>471</v>
      </c>
      <c r="G47" t="s">
        <v>472</v>
      </c>
      <c r="H47" t="s">
        <v>471</v>
      </c>
      <c r="I47" t="str">
        <f>HYPERLINK("https://zfin.org/ZDB-GENE-030821-1")</f>
        <v>https://zfin.org/ZDB-GENE-030821-1</v>
      </c>
      <c r="J47" t="s">
        <v>470</v>
      </c>
    </row>
    <row r="48" spans="1:10" x14ac:dyDescent="0.2">
      <c r="A48">
        <v>2.4447577746687099E-165</v>
      </c>
      <c r="B48">
        <v>1.1302507065137399</v>
      </c>
      <c r="C48">
        <v>0.70099999999999996</v>
      </c>
      <c r="D48">
        <v>2.7E-2</v>
      </c>
      <c r="E48">
        <v>3.7852184625195697E-161</v>
      </c>
      <c r="F48" t="s">
        <v>468</v>
      </c>
      <c r="G48" t="s">
        <v>469</v>
      </c>
      <c r="H48" t="s">
        <v>468</v>
      </c>
      <c r="I48" t="str">
        <f>HYPERLINK("https://zfin.org/")</f>
        <v>https://zfin.org/</v>
      </c>
      <c r="J48" t="s">
        <v>467</v>
      </c>
    </row>
    <row r="49" spans="1:10" x14ac:dyDescent="0.2">
      <c r="A49">
        <v>8.5866667653310405E-165</v>
      </c>
      <c r="B49">
        <v>1.08031963677867</v>
      </c>
      <c r="C49">
        <v>0.63200000000000001</v>
      </c>
      <c r="D49">
        <v>1.4999999999999999E-2</v>
      </c>
      <c r="E49">
        <v>1.3294736152762E-160</v>
      </c>
      <c r="F49" t="s">
        <v>465</v>
      </c>
      <c r="G49" t="s">
        <v>466</v>
      </c>
      <c r="H49" t="s">
        <v>465</v>
      </c>
      <c r="I49" t="str">
        <f>HYPERLINK("https://zfin.org/ZDB-GENE-070112-1912")</f>
        <v>https://zfin.org/ZDB-GENE-070112-1912</v>
      </c>
      <c r="J49" t="s">
        <v>464</v>
      </c>
    </row>
    <row r="50" spans="1:10" x14ac:dyDescent="0.2">
      <c r="A50">
        <v>2.20337052374695E-164</v>
      </c>
      <c r="B50">
        <v>1.05193917387763</v>
      </c>
      <c r="C50">
        <v>0.63200000000000001</v>
      </c>
      <c r="D50">
        <v>1.4999999999999999E-2</v>
      </c>
      <c r="E50">
        <v>3.4114785819174099E-160</v>
      </c>
      <c r="F50" t="s">
        <v>462</v>
      </c>
      <c r="G50" t="s">
        <v>463</v>
      </c>
      <c r="H50" t="s">
        <v>462</v>
      </c>
      <c r="I50" t="str">
        <f>HYPERLINK("https://zfin.org/ZDB-GENE-041014-353")</f>
        <v>https://zfin.org/ZDB-GENE-041014-353</v>
      </c>
      <c r="J50" t="s">
        <v>461</v>
      </c>
    </row>
    <row r="51" spans="1:10" x14ac:dyDescent="0.2">
      <c r="A51">
        <v>1.32075209714097E-160</v>
      </c>
      <c r="B51">
        <v>1.2197980267033399</v>
      </c>
      <c r="C51">
        <v>0.70099999999999996</v>
      </c>
      <c r="D51">
        <v>2.9000000000000001E-2</v>
      </c>
      <c r="E51">
        <v>2.0449204720033601E-156</v>
      </c>
      <c r="F51" t="s">
        <v>459</v>
      </c>
      <c r="G51" t="s">
        <v>460</v>
      </c>
      <c r="H51" t="s">
        <v>459</v>
      </c>
      <c r="I51" t="str">
        <f>HYPERLINK("https://zfin.org/ZDB-GENE-070424-166")</f>
        <v>https://zfin.org/ZDB-GENE-070424-166</v>
      </c>
      <c r="J51" t="s">
        <v>458</v>
      </c>
    </row>
    <row r="52" spans="1:10" x14ac:dyDescent="0.2">
      <c r="A52">
        <v>9.1511953731695896E-160</v>
      </c>
      <c r="B52">
        <v>0.95058223548335996</v>
      </c>
      <c r="C52">
        <v>0.621</v>
      </c>
      <c r="D52">
        <v>1.4999999999999999E-2</v>
      </c>
      <c r="E52">
        <v>1.41687957962785E-155</v>
      </c>
      <c r="F52" t="s">
        <v>456</v>
      </c>
      <c r="G52" t="s">
        <v>457</v>
      </c>
      <c r="H52" t="s">
        <v>456</v>
      </c>
      <c r="I52" t="str">
        <f>HYPERLINK("https://zfin.org/ZDB-GENE-050417-327")</f>
        <v>https://zfin.org/ZDB-GENE-050417-327</v>
      </c>
      <c r="J52" t="s">
        <v>455</v>
      </c>
    </row>
    <row r="53" spans="1:10" x14ac:dyDescent="0.2">
      <c r="A53">
        <v>2.7811372320186202E-159</v>
      </c>
      <c r="B53">
        <v>0.970193323024928</v>
      </c>
      <c r="C53">
        <v>0.59799999999999998</v>
      </c>
      <c r="D53">
        <v>1.2E-2</v>
      </c>
      <c r="E53">
        <v>4.30603477633443E-155</v>
      </c>
      <c r="F53" t="s">
        <v>453</v>
      </c>
      <c r="G53" t="s">
        <v>454</v>
      </c>
      <c r="H53" t="s">
        <v>453</v>
      </c>
      <c r="I53" t="str">
        <f>HYPERLINK("https://zfin.org/ZDB-GENE-070410-98")</f>
        <v>https://zfin.org/ZDB-GENE-070410-98</v>
      </c>
      <c r="J53" t="s">
        <v>452</v>
      </c>
    </row>
    <row r="54" spans="1:10" x14ac:dyDescent="0.2">
      <c r="A54">
        <v>1.4004913939570401E-156</v>
      </c>
      <c r="B54">
        <v>1.5723679080625299</v>
      </c>
      <c r="C54">
        <v>0.83299999999999996</v>
      </c>
      <c r="D54">
        <v>6.9000000000000006E-2</v>
      </c>
      <c r="E54">
        <v>2.16838082526368E-152</v>
      </c>
      <c r="F54" t="s">
        <v>450</v>
      </c>
      <c r="G54" t="s">
        <v>451</v>
      </c>
      <c r="H54" t="s">
        <v>450</v>
      </c>
      <c r="I54" t="str">
        <f>HYPERLINK("https://zfin.org/ZDB-GENE-040426-1615")</f>
        <v>https://zfin.org/ZDB-GENE-040426-1615</v>
      </c>
      <c r="J54" t="s">
        <v>449</v>
      </c>
    </row>
    <row r="55" spans="1:10" x14ac:dyDescent="0.2">
      <c r="A55">
        <v>7.4058554649590901E-156</v>
      </c>
      <c r="B55">
        <v>0.97201504777340497</v>
      </c>
      <c r="C55">
        <v>0.626</v>
      </c>
      <c r="D55">
        <v>1.7999999999999999E-2</v>
      </c>
      <c r="E55">
        <v>1.1466486016396199E-151</v>
      </c>
      <c r="F55" t="s">
        <v>447</v>
      </c>
      <c r="G55" t="s">
        <v>448</v>
      </c>
      <c r="H55" t="s">
        <v>447</v>
      </c>
      <c r="I55" t="str">
        <f>HYPERLINK("https://zfin.org/ZDB-GENE-041114-100")</f>
        <v>https://zfin.org/ZDB-GENE-041114-100</v>
      </c>
      <c r="J55" t="s">
        <v>446</v>
      </c>
    </row>
    <row r="56" spans="1:10" x14ac:dyDescent="0.2">
      <c r="A56">
        <v>3.7512039005385899E-155</v>
      </c>
      <c r="B56">
        <v>0.96648241212574604</v>
      </c>
      <c r="C56">
        <v>0.59199999999999997</v>
      </c>
      <c r="D56">
        <v>1.2999999999999999E-2</v>
      </c>
      <c r="E56">
        <v>5.8079889992039102E-151</v>
      </c>
      <c r="F56" t="s">
        <v>444</v>
      </c>
      <c r="G56" t="s">
        <v>445</v>
      </c>
      <c r="H56" t="s">
        <v>444</v>
      </c>
      <c r="I56" t="str">
        <f>HYPERLINK("https://zfin.org/ZDB-GENE-070820-17")</f>
        <v>https://zfin.org/ZDB-GENE-070820-17</v>
      </c>
      <c r="J56" t="s">
        <v>443</v>
      </c>
    </row>
    <row r="57" spans="1:10" x14ac:dyDescent="0.2">
      <c r="A57">
        <v>6.35662607337782E-155</v>
      </c>
      <c r="B57">
        <v>1.07946819734521</v>
      </c>
      <c r="C57">
        <v>0.59199999999999997</v>
      </c>
      <c r="D57">
        <v>1.2999999999999999E-2</v>
      </c>
      <c r="E57">
        <v>9.8419641494108705E-151</v>
      </c>
      <c r="F57" t="s">
        <v>441</v>
      </c>
      <c r="G57" t="s">
        <v>442</v>
      </c>
      <c r="H57" t="s">
        <v>441</v>
      </c>
      <c r="I57" t="str">
        <f>HYPERLINK("https://zfin.org/ZDB-GENE-050208-657")</f>
        <v>https://zfin.org/ZDB-GENE-050208-657</v>
      </c>
      <c r="J57" t="s">
        <v>440</v>
      </c>
    </row>
    <row r="58" spans="1:10" x14ac:dyDescent="0.2">
      <c r="A58">
        <v>1.53522875903601E-153</v>
      </c>
      <c r="B58">
        <v>0.88839396030678397</v>
      </c>
      <c r="C58">
        <v>0.60299999999999998</v>
      </c>
      <c r="D58">
        <v>1.4999999999999999E-2</v>
      </c>
      <c r="E58">
        <v>2.3769946876154498E-149</v>
      </c>
      <c r="F58" t="s">
        <v>438</v>
      </c>
      <c r="G58" t="s">
        <v>439</v>
      </c>
      <c r="H58" t="s">
        <v>438</v>
      </c>
      <c r="I58" t="str">
        <f>HYPERLINK("https://zfin.org/ZDB-GENE-070705-453")</f>
        <v>https://zfin.org/ZDB-GENE-070705-453</v>
      </c>
      <c r="J58" t="s">
        <v>437</v>
      </c>
    </row>
    <row r="59" spans="1:10" x14ac:dyDescent="0.2">
      <c r="A59">
        <v>3.0607742740649199E-153</v>
      </c>
      <c r="B59">
        <v>1.61862236656876</v>
      </c>
      <c r="C59">
        <v>0.63800000000000001</v>
      </c>
      <c r="D59">
        <v>2.4E-2</v>
      </c>
      <c r="E59">
        <v>4.7389968085347097E-149</v>
      </c>
      <c r="F59" t="s">
        <v>435</v>
      </c>
      <c r="G59" t="s">
        <v>436</v>
      </c>
      <c r="H59" t="s">
        <v>435</v>
      </c>
      <c r="I59" t="str">
        <f>HYPERLINK("https://zfin.org/ZDB-GENE-060526-265")</f>
        <v>https://zfin.org/ZDB-GENE-060526-265</v>
      </c>
      <c r="J59" t="s">
        <v>434</v>
      </c>
    </row>
    <row r="60" spans="1:10" x14ac:dyDescent="0.2">
      <c r="A60">
        <v>1.1796633512109201E-152</v>
      </c>
      <c r="B60">
        <v>1.8958884304832699</v>
      </c>
      <c r="C60">
        <v>0.78700000000000003</v>
      </c>
      <c r="D60">
        <v>6.4000000000000001E-2</v>
      </c>
      <c r="E60">
        <v>1.8264727666798598E-148</v>
      </c>
      <c r="F60" t="s">
        <v>432</v>
      </c>
      <c r="G60" t="s">
        <v>433</v>
      </c>
      <c r="H60" t="s">
        <v>432</v>
      </c>
      <c r="I60" t="str">
        <f>HYPERLINK("https://zfin.org/ZDB-GENE-050522-319")</f>
        <v>https://zfin.org/ZDB-GENE-050522-319</v>
      </c>
      <c r="J60" t="s">
        <v>431</v>
      </c>
    </row>
    <row r="61" spans="1:10" x14ac:dyDescent="0.2">
      <c r="A61">
        <v>4.6663701944613803E-152</v>
      </c>
      <c r="B61">
        <v>1.4004066563837501</v>
      </c>
      <c r="C61">
        <v>0.753</v>
      </c>
      <c r="D61">
        <v>4.7E-2</v>
      </c>
      <c r="E61">
        <v>7.2249409720845597E-148</v>
      </c>
      <c r="F61" t="s">
        <v>429</v>
      </c>
      <c r="G61" t="s">
        <v>430</v>
      </c>
      <c r="H61" t="s">
        <v>429</v>
      </c>
      <c r="I61" t="str">
        <f>HYPERLINK("https://zfin.org/ZDB-GENE-031001-3")</f>
        <v>https://zfin.org/ZDB-GENE-031001-3</v>
      </c>
      <c r="J61" t="s">
        <v>428</v>
      </c>
    </row>
    <row r="62" spans="1:10" x14ac:dyDescent="0.2">
      <c r="A62">
        <v>2.6744844253104301E-151</v>
      </c>
      <c r="B62">
        <v>2.30115386470835</v>
      </c>
      <c r="C62">
        <v>0.85099999999999998</v>
      </c>
      <c r="D62">
        <v>9.8000000000000004E-2</v>
      </c>
      <c r="E62">
        <v>4.14090423570814E-147</v>
      </c>
      <c r="F62" t="s">
        <v>426</v>
      </c>
      <c r="G62" t="s">
        <v>427</v>
      </c>
      <c r="H62" t="s">
        <v>426</v>
      </c>
      <c r="I62" t="str">
        <f>HYPERLINK("https://zfin.org/ZDB-GENE-131121-321")</f>
        <v>https://zfin.org/ZDB-GENE-131121-321</v>
      </c>
      <c r="J62" t="s">
        <v>425</v>
      </c>
    </row>
    <row r="63" spans="1:10" x14ac:dyDescent="0.2">
      <c r="A63">
        <v>7.9883341727188202E-150</v>
      </c>
      <c r="B63">
        <v>1.07079167733405</v>
      </c>
      <c r="C63">
        <v>0.60899999999999999</v>
      </c>
      <c r="D63">
        <v>1.9E-2</v>
      </c>
      <c r="E63">
        <v>1.23683377996205E-145</v>
      </c>
      <c r="F63" t="s">
        <v>423</v>
      </c>
      <c r="G63" t="s">
        <v>424</v>
      </c>
      <c r="H63" t="s">
        <v>423</v>
      </c>
      <c r="I63" t="str">
        <f>HYPERLINK("https://zfin.org/ZDB-GENE-081105-176")</f>
        <v>https://zfin.org/ZDB-GENE-081105-176</v>
      </c>
      <c r="J63" t="s">
        <v>422</v>
      </c>
    </row>
    <row r="64" spans="1:10" x14ac:dyDescent="0.2">
      <c r="A64">
        <v>1.51241038138269E-149</v>
      </c>
      <c r="B64">
        <v>1.10858812530507</v>
      </c>
      <c r="C64">
        <v>0.61499999999999999</v>
      </c>
      <c r="D64">
        <v>1.9E-2</v>
      </c>
      <c r="E64">
        <v>2.3416649934948201E-145</v>
      </c>
      <c r="F64" t="s">
        <v>420</v>
      </c>
      <c r="G64" t="s">
        <v>421</v>
      </c>
      <c r="H64" t="s">
        <v>420</v>
      </c>
      <c r="I64" t="str">
        <f>HYPERLINK("https://zfin.org/ZDB-GENE-091112-16")</f>
        <v>https://zfin.org/ZDB-GENE-091112-16</v>
      </c>
      <c r="J64" t="s">
        <v>419</v>
      </c>
    </row>
    <row r="65" spans="1:10" x14ac:dyDescent="0.2">
      <c r="A65">
        <v>3.09421814024989E-148</v>
      </c>
      <c r="B65">
        <v>0.86814187982304702</v>
      </c>
      <c r="C65">
        <v>0.57999999999999996</v>
      </c>
      <c r="D65">
        <v>1.4E-2</v>
      </c>
      <c r="E65">
        <v>4.7907779465489101E-144</v>
      </c>
      <c r="F65" t="s">
        <v>417</v>
      </c>
      <c r="G65" t="s">
        <v>418</v>
      </c>
      <c r="H65" t="s">
        <v>417</v>
      </c>
      <c r="I65" t="str">
        <f>HYPERLINK("https://zfin.org/ZDB-GENE-061013-787")</f>
        <v>https://zfin.org/ZDB-GENE-061013-787</v>
      </c>
      <c r="J65" t="s">
        <v>416</v>
      </c>
    </row>
    <row r="66" spans="1:10" x14ac:dyDescent="0.2">
      <c r="A66">
        <v>3.1579182653265799E-148</v>
      </c>
      <c r="B66">
        <v>0.82058712312636495</v>
      </c>
      <c r="C66">
        <v>0.57999999999999996</v>
      </c>
      <c r="D66">
        <v>1.4E-2</v>
      </c>
      <c r="E66">
        <v>4.8894048502051401E-144</v>
      </c>
      <c r="F66" t="s">
        <v>414</v>
      </c>
      <c r="G66" t="s">
        <v>415</v>
      </c>
      <c r="H66" t="s">
        <v>414</v>
      </c>
      <c r="I66" t="str">
        <f>HYPERLINK("https://zfin.org/ZDB-GENE-070424-269")</f>
        <v>https://zfin.org/ZDB-GENE-070424-269</v>
      </c>
      <c r="J66" t="s">
        <v>413</v>
      </c>
    </row>
    <row r="67" spans="1:10" x14ac:dyDescent="0.2">
      <c r="A67">
        <v>2.6454391312441398E-147</v>
      </c>
      <c r="B67">
        <v>3.4473575362072402</v>
      </c>
      <c r="C67">
        <v>0.88500000000000001</v>
      </c>
      <c r="D67">
        <v>0.124</v>
      </c>
      <c r="E67">
        <v>4.09593340690531E-143</v>
      </c>
      <c r="F67" t="s">
        <v>411</v>
      </c>
      <c r="G67" t="s">
        <v>412</v>
      </c>
      <c r="H67" t="s">
        <v>411</v>
      </c>
      <c r="I67" t="str">
        <f>HYPERLINK("https://zfin.org/")</f>
        <v>https://zfin.org/</v>
      </c>
    </row>
    <row r="68" spans="1:10" x14ac:dyDescent="0.2">
      <c r="A68">
        <v>6.7392428868465195E-147</v>
      </c>
      <c r="B68">
        <v>1.0154917411705999</v>
      </c>
      <c r="C68">
        <v>0.61499999999999999</v>
      </c>
      <c r="D68">
        <v>2.1000000000000001E-2</v>
      </c>
      <c r="E68">
        <v>1.04343697617045E-142</v>
      </c>
      <c r="F68" t="s">
        <v>410</v>
      </c>
      <c r="G68" t="s">
        <v>409</v>
      </c>
      <c r="H68" t="s">
        <v>408</v>
      </c>
      <c r="I68" t="str">
        <f>HYPERLINK("https://zfin.org/ZDB-GENE-030131-7512")</f>
        <v>https://zfin.org/ZDB-GENE-030131-7512</v>
      </c>
      <c r="J68" t="s">
        <v>407</v>
      </c>
    </row>
    <row r="69" spans="1:10" x14ac:dyDescent="0.2">
      <c r="A69">
        <v>4.7424649477224898E-146</v>
      </c>
      <c r="B69">
        <v>1.3463638649513201</v>
      </c>
      <c r="C69">
        <v>0.81</v>
      </c>
      <c r="D69">
        <v>7.0000000000000007E-2</v>
      </c>
      <c r="E69">
        <v>7.3427584785587307E-142</v>
      </c>
      <c r="F69" t="s">
        <v>405</v>
      </c>
      <c r="G69" t="s">
        <v>406</v>
      </c>
      <c r="H69" t="s">
        <v>405</v>
      </c>
      <c r="I69" t="str">
        <f>HYPERLINK("https://zfin.org/ZDB-GENE-041212-9")</f>
        <v>https://zfin.org/ZDB-GENE-041212-9</v>
      </c>
      <c r="J69" t="s">
        <v>404</v>
      </c>
    </row>
    <row r="70" spans="1:10" x14ac:dyDescent="0.2">
      <c r="A70">
        <v>9.4533807312136299E-146</v>
      </c>
      <c r="B70">
        <v>0.99985599352741406</v>
      </c>
      <c r="C70">
        <v>0.55700000000000005</v>
      </c>
      <c r="D70">
        <v>1.2E-2</v>
      </c>
      <c r="E70">
        <v>1.4636669386138101E-141</v>
      </c>
      <c r="F70" t="s">
        <v>402</v>
      </c>
      <c r="G70" t="s">
        <v>403</v>
      </c>
      <c r="H70" t="s">
        <v>402</v>
      </c>
      <c r="I70" t="str">
        <f>HYPERLINK("https://zfin.org/ZDB-GENE-060825-242")</f>
        <v>https://zfin.org/ZDB-GENE-060825-242</v>
      </c>
      <c r="J70" t="s">
        <v>401</v>
      </c>
    </row>
    <row r="71" spans="1:10" x14ac:dyDescent="0.2">
      <c r="A71">
        <v>1.9894536916197101E-145</v>
      </c>
      <c r="B71">
        <v>1.33725002413475</v>
      </c>
      <c r="C71">
        <v>0.78700000000000003</v>
      </c>
      <c r="D71">
        <v>6.6000000000000003E-2</v>
      </c>
      <c r="E71">
        <v>3.0802711507347901E-141</v>
      </c>
      <c r="F71" t="s">
        <v>399</v>
      </c>
      <c r="G71" t="s">
        <v>400</v>
      </c>
      <c r="H71" t="s">
        <v>399</v>
      </c>
      <c r="I71" t="str">
        <f>HYPERLINK("https://zfin.org/ZDB-GENE-030616-616")</f>
        <v>https://zfin.org/ZDB-GENE-030616-616</v>
      </c>
      <c r="J71" t="s">
        <v>398</v>
      </c>
    </row>
    <row r="72" spans="1:10" x14ac:dyDescent="0.2">
      <c r="A72">
        <v>2.8099196295627901E-144</v>
      </c>
      <c r="B72">
        <v>1.09253440731402</v>
      </c>
      <c r="C72">
        <v>0.54600000000000004</v>
      </c>
      <c r="D72">
        <v>1.0999999999999999E-2</v>
      </c>
      <c r="E72">
        <v>4.3505985624520596E-140</v>
      </c>
      <c r="F72" t="s">
        <v>396</v>
      </c>
      <c r="G72" t="s">
        <v>397</v>
      </c>
      <c r="H72" t="s">
        <v>396</v>
      </c>
      <c r="I72" t="str">
        <f>HYPERLINK("https://zfin.org/ZDB-GENE-081028-50")</f>
        <v>https://zfin.org/ZDB-GENE-081028-50</v>
      </c>
      <c r="J72" t="s">
        <v>395</v>
      </c>
    </row>
    <row r="73" spans="1:10" x14ac:dyDescent="0.2">
      <c r="A73">
        <v>8.8189246719737403E-143</v>
      </c>
      <c r="B73">
        <v>1.07446470226442</v>
      </c>
      <c r="C73">
        <v>0.64400000000000002</v>
      </c>
      <c r="D73">
        <v>2.9000000000000001E-2</v>
      </c>
      <c r="E73">
        <v>1.36543410696169E-138</v>
      </c>
      <c r="F73" t="s">
        <v>393</v>
      </c>
      <c r="G73" t="s">
        <v>394</v>
      </c>
      <c r="H73" t="s">
        <v>393</v>
      </c>
      <c r="I73" t="str">
        <f>HYPERLINK("https://zfin.org/ZDB-GENE-050320-136")</f>
        <v>https://zfin.org/ZDB-GENE-050320-136</v>
      </c>
      <c r="J73" t="s">
        <v>392</v>
      </c>
    </row>
    <row r="74" spans="1:10" x14ac:dyDescent="0.2">
      <c r="A74">
        <v>2.5530997395323E-142</v>
      </c>
      <c r="B74">
        <v>0.91446407679525599</v>
      </c>
      <c r="C74">
        <v>0.54600000000000004</v>
      </c>
      <c r="D74">
        <v>1.2E-2</v>
      </c>
      <c r="E74">
        <v>3.9529643267178598E-138</v>
      </c>
      <c r="F74" t="s">
        <v>390</v>
      </c>
      <c r="G74" t="s">
        <v>391</v>
      </c>
      <c r="H74" t="s">
        <v>390</v>
      </c>
      <c r="I74" t="str">
        <f>HYPERLINK("https://zfin.org/")</f>
        <v>https://zfin.org/</v>
      </c>
    </row>
    <row r="75" spans="1:10" x14ac:dyDescent="0.2">
      <c r="A75">
        <v>4.9707980792773702E-142</v>
      </c>
      <c r="B75">
        <v>1.4610950340317399</v>
      </c>
      <c r="C75">
        <v>0.64400000000000002</v>
      </c>
      <c r="D75">
        <v>0.03</v>
      </c>
      <c r="E75">
        <v>7.6962866661451405E-138</v>
      </c>
      <c r="F75" t="s">
        <v>388</v>
      </c>
      <c r="G75" t="s">
        <v>389</v>
      </c>
      <c r="H75" t="s">
        <v>388</v>
      </c>
      <c r="I75" t="str">
        <f>HYPERLINK("https://zfin.org/ZDB-GENE-081028-70")</f>
        <v>https://zfin.org/ZDB-GENE-081028-70</v>
      </c>
      <c r="J75" t="s">
        <v>387</v>
      </c>
    </row>
    <row r="76" spans="1:10" x14ac:dyDescent="0.2">
      <c r="A76">
        <v>1.29349255941764E-141</v>
      </c>
      <c r="B76">
        <v>0.81781384401922297</v>
      </c>
      <c r="C76">
        <v>0.52300000000000002</v>
      </c>
      <c r="D76">
        <v>8.9999999999999993E-3</v>
      </c>
      <c r="E76">
        <v>2.00271452974633E-137</v>
      </c>
      <c r="F76" t="s">
        <v>385</v>
      </c>
      <c r="G76" t="s">
        <v>386</v>
      </c>
      <c r="H76" t="s">
        <v>385</v>
      </c>
      <c r="I76" t="str">
        <f>HYPERLINK("https://zfin.org/ZDB-GENE-050522-121")</f>
        <v>https://zfin.org/ZDB-GENE-050522-121</v>
      </c>
      <c r="J76" t="s">
        <v>384</v>
      </c>
    </row>
    <row r="77" spans="1:10" x14ac:dyDescent="0.2">
      <c r="A77">
        <v>7.1555638229882799E-141</v>
      </c>
      <c r="B77">
        <v>1.2495106289233699</v>
      </c>
      <c r="C77">
        <v>0.54600000000000004</v>
      </c>
      <c r="D77">
        <v>1.2999999999999999E-2</v>
      </c>
      <c r="E77">
        <v>1.1078959467132799E-136</v>
      </c>
      <c r="F77" t="s">
        <v>382</v>
      </c>
      <c r="G77" t="s">
        <v>383</v>
      </c>
      <c r="H77" t="s">
        <v>382</v>
      </c>
      <c r="I77" t="str">
        <f>HYPERLINK("https://zfin.org/ZDB-GENE-160114-52")</f>
        <v>https://zfin.org/ZDB-GENE-160114-52</v>
      </c>
      <c r="J77" t="s">
        <v>381</v>
      </c>
    </row>
    <row r="78" spans="1:10" x14ac:dyDescent="0.2">
      <c r="A78">
        <v>2.1459615226056199E-139</v>
      </c>
      <c r="B78">
        <v>0.92893830304191205</v>
      </c>
      <c r="C78">
        <v>0.56899999999999995</v>
      </c>
      <c r="D78">
        <v>1.7000000000000001E-2</v>
      </c>
      <c r="E78">
        <v>3.3225922254502797E-135</v>
      </c>
      <c r="F78" t="s">
        <v>379</v>
      </c>
      <c r="G78" t="s">
        <v>380</v>
      </c>
      <c r="H78" t="s">
        <v>379</v>
      </c>
      <c r="I78" t="str">
        <f>HYPERLINK("https://zfin.org/ZDB-GENE-030131-4309")</f>
        <v>https://zfin.org/ZDB-GENE-030131-4309</v>
      </c>
      <c r="J78" t="s">
        <v>378</v>
      </c>
    </row>
    <row r="79" spans="1:10" x14ac:dyDescent="0.2">
      <c r="A79">
        <v>5.2122032790914902E-139</v>
      </c>
      <c r="B79">
        <v>0.87935739164077398</v>
      </c>
      <c r="C79">
        <v>0.48299999999999998</v>
      </c>
      <c r="D79">
        <v>4.0000000000000001E-3</v>
      </c>
      <c r="E79">
        <v>8.0700543370173502E-135</v>
      </c>
      <c r="F79" t="s">
        <v>376</v>
      </c>
      <c r="G79" t="s">
        <v>377</v>
      </c>
      <c r="H79" t="s">
        <v>376</v>
      </c>
      <c r="I79" t="str">
        <f>HYPERLINK("https://zfin.org/ZDB-GENE-081031-7")</f>
        <v>https://zfin.org/ZDB-GENE-081031-7</v>
      </c>
      <c r="J79" t="s">
        <v>375</v>
      </c>
    </row>
    <row r="80" spans="1:10" x14ac:dyDescent="0.2">
      <c r="A80">
        <v>6.4723500975468902E-138</v>
      </c>
      <c r="B80">
        <v>0.83798152487683997</v>
      </c>
      <c r="C80">
        <v>0.51700000000000002</v>
      </c>
      <c r="D80">
        <v>0.01</v>
      </c>
      <c r="E80">
        <v>1.00211396560319E-133</v>
      </c>
      <c r="F80" t="s">
        <v>373</v>
      </c>
      <c r="G80" t="s">
        <v>374</v>
      </c>
      <c r="H80" t="s">
        <v>373</v>
      </c>
      <c r="I80" t="str">
        <f>HYPERLINK("https://zfin.org/ZDB-GENE-050522-311")</f>
        <v>https://zfin.org/ZDB-GENE-050522-311</v>
      </c>
      <c r="J80" t="s">
        <v>372</v>
      </c>
    </row>
    <row r="81" spans="1:10" x14ac:dyDescent="0.2">
      <c r="A81">
        <v>8.0420469379532006E-138</v>
      </c>
      <c r="B81">
        <v>0.79405475882488097</v>
      </c>
      <c r="C81">
        <v>0.52300000000000002</v>
      </c>
      <c r="D81">
        <v>0.01</v>
      </c>
      <c r="E81">
        <v>1.2451501274032899E-133</v>
      </c>
      <c r="F81" t="s">
        <v>370</v>
      </c>
      <c r="G81" t="s">
        <v>371</v>
      </c>
      <c r="H81" t="s">
        <v>370</v>
      </c>
      <c r="I81" t="str">
        <f>HYPERLINK("https://zfin.org/ZDB-GENE-060825-357")</f>
        <v>https://zfin.org/ZDB-GENE-060825-357</v>
      </c>
      <c r="J81" t="s">
        <v>369</v>
      </c>
    </row>
    <row r="82" spans="1:10" x14ac:dyDescent="0.2">
      <c r="A82">
        <v>3.0813679922195E-137</v>
      </c>
      <c r="B82">
        <v>0.90763288186717495</v>
      </c>
      <c r="C82">
        <v>0.56899999999999995</v>
      </c>
      <c r="D82">
        <v>1.7999999999999999E-2</v>
      </c>
      <c r="E82">
        <v>4.7708820623534501E-133</v>
      </c>
      <c r="F82" t="s">
        <v>367</v>
      </c>
      <c r="G82" t="s">
        <v>368</v>
      </c>
      <c r="H82" t="s">
        <v>367</v>
      </c>
      <c r="I82" t="str">
        <f>HYPERLINK("https://zfin.org/ZDB-GENE-030318-3")</f>
        <v>https://zfin.org/ZDB-GENE-030318-3</v>
      </c>
      <c r="J82" t="s">
        <v>366</v>
      </c>
    </row>
    <row r="83" spans="1:10" x14ac:dyDescent="0.2">
      <c r="A83">
        <v>6.8498211731743703E-137</v>
      </c>
      <c r="B83">
        <v>0.84636731562752299</v>
      </c>
      <c r="C83">
        <v>0.54</v>
      </c>
      <c r="D83">
        <v>1.2999999999999999E-2</v>
      </c>
      <c r="E83">
        <v>1.06055781224259E-132</v>
      </c>
      <c r="F83" t="s">
        <v>364</v>
      </c>
      <c r="G83" t="s">
        <v>365</v>
      </c>
      <c r="H83" t="s">
        <v>364</v>
      </c>
      <c r="I83" t="str">
        <f>HYPERLINK("https://zfin.org/ZDB-GENE-131105-1")</f>
        <v>https://zfin.org/ZDB-GENE-131105-1</v>
      </c>
      <c r="J83" t="s">
        <v>363</v>
      </c>
    </row>
    <row r="84" spans="1:10" x14ac:dyDescent="0.2">
      <c r="A84">
        <v>1.42135356365324E-135</v>
      </c>
      <c r="B84">
        <v>0.78054784656102305</v>
      </c>
      <c r="C84">
        <v>0.48299999999999998</v>
      </c>
      <c r="D84">
        <v>6.0000000000000001E-3</v>
      </c>
      <c r="E84">
        <v>2.2006817226043201E-131</v>
      </c>
      <c r="F84" t="s">
        <v>361</v>
      </c>
      <c r="G84" t="s">
        <v>362</v>
      </c>
      <c r="H84" t="s">
        <v>361</v>
      </c>
      <c r="I84" t="str">
        <f>HYPERLINK("https://zfin.org/ZDB-GENE-070822-21")</f>
        <v>https://zfin.org/ZDB-GENE-070822-21</v>
      </c>
      <c r="J84" t="s">
        <v>360</v>
      </c>
    </row>
    <row r="85" spans="1:10" x14ac:dyDescent="0.2">
      <c r="A85">
        <v>1.6399075614711401E-135</v>
      </c>
      <c r="B85">
        <v>0.81847576130911004</v>
      </c>
      <c r="C85">
        <v>0.50600000000000001</v>
      </c>
      <c r="D85">
        <v>8.9999999999999993E-3</v>
      </c>
      <c r="E85">
        <v>2.5390688774257601E-131</v>
      </c>
      <c r="F85" t="s">
        <v>358</v>
      </c>
      <c r="G85" t="s">
        <v>359</v>
      </c>
      <c r="H85" t="s">
        <v>358</v>
      </c>
      <c r="I85" t="str">
        <f>HYPERLINK("https://zfin.org/ZDB-GENE-060526-175")</f>
        <v>https://zfin.org/ZDB-GENE-060526-175</v>
      </c>
      <c r="J85" t="s">
        <v>357</v>
      </c>
    </row>
    <row r="86" spans="1:10" x14ac:dyDescent="0.2">
      <c r="A86">
        <v>4.6290983688092098E-135</v>
      </c>
      <c r="B86">
        <v>1.3491919164934101</v>
      </c>
      <c r="C86">
        <v>0.71799999999999997</v>
      </c>
      <c r="D86">
        <v>5.6000000000000001E-2</v>
      </c>
      <c r="E86">
        <v>7.1672330044272997E-131</v>
      </c>
      <c r="F86" t="s">
        <v>355</v>
      </c>
      <c r="G86" t="s">
        <v>356</v>
      </c>
      <c r="H86" t="s">
        <v>355</v>
      </c>
      <c r="I86" t="str">
        <f>HYPERLINK("https://zfin.org/ZDB-GENE-000412-1")</f>
        <v>https://zfin.org/ZDB-GENE-000412-1</v>
      </c>
      <c r="J86" t="s">
        <v>354</v>
      </c>
    </row>
    <row r="87" spans="1:10" x14ac:dyDescent="0.2">
      <c r="A87">
        <v>6.7332866077078799E-135</v>
      </c>
      <c r="B87">
        <v>0.70189573345796596</v>
      </c>
      <c r="C87">
        <v>0.49399999999999999</v>
      </c>
      <c r="D87">
        <v>7.0000000000000001E-3</v>
      </c>
      <c r="E87">
        <v>1.0425147654714099E-130</v>
      </c>
      <c r="F87" t="s">
        <v>352</v>
      </c>
      <c r="G87" t="s">
        <v>353</v>
      </c>
      <c r="H87" t="s">
        <v>352</v>
      </c>
      <c r="I87" t="str">
        <f>HYPERLINK("https://zfin.org/ZDB-GENE-030131-8225")</f>
        <v>https://zfin.org/ZDB-GENE-030131-8225</v>
      </c>
      <c r="J87" t="s">
        <v>351</v>
      </c>
    </row>
    <row r="88" spans="1:10" x14ac:dyDescent="0.2">
      <c r="A88">
        <v>2.9955855786604498E-133</v>
      </c>
      <c r="B88">
        <v>0.85051541800022401</v>
      </c>
      <c r="C88">
        <v>0.52300000000000002</v>
      </c>
      <c r="D88">
        <v>1.2999999999999999E-2</v>
      </c>
      <c r="E88">
        <v>4.6380651514399702E-129</v>
      </c>
      <c r="F88" t="s">
        <v>349</v>
      </c>
      <c r="G88" t="s">
        <v>350</v>
      </c>
      <c r="H88" t="s">
        <v>349</v>
      </c>
      <c r="I88" t="str">
        <f>HYPERLINK("https://zfin.org/ZDB-GENE-050411-27")</f>
        <v>https://zfin.org/ZDB-GENE-050411-27</v>
      </c>
      <c r="J88" t="s">
        <v>348</v>
      </c>
    </row>
    <row r="89" spans="1:10" x14ac:dyDescent="0.2">
      <c r="A89">
        <v>7.3068239937692202E-131</v>
      </c>
      <c r="B89">
        <v>0.84740416616408998</v>
      </c>
      <c r="C89">
        <v>0.49399999999999999</v>
      </c>
      <c r="D89">
        <v>0.01</v>
      </c>
      <c r="E89">
        <v>1.1313155589552899E-126</v>
      </c>
      <c r="F89" t="s">
        <v>346</v>
      </c>
      <c r="G89" t="s">
        <v>347</v>
      </c>
      <c r="H89" t="s">
        <v>346</v>
      </c>
      <c r="I89" t="str">
        <f>HYPERLINK("https://zfin.org/ZDB-GENE-060929-1178")</f>
        <v>https://zfin.org/ZDB-GENE-060929-1178</v>
      </c>
      <c r="J89" t="s">
        <v>345</v>
      </c>
    </row>
    <row r="90" spans="1:10" x14ac:dyDescent="0.2">
      <c r="A90">
        <v>1.4039974878367901E-130</v>
      </c>
      <c r="B90">
        <v>0.77227139969068404</v>
      </c>
      <c r="C90">
        <v>0.51700000000000002</v>
      </c>
      <c r="D90">
        <v>1.2999999999999999E-2</v>
      </c>
      <c r="E90">
        <v>2.1738093104176999E-126</v>
      </c>
      <c r="F90" t="s">
        <v>343</v>
      </c>
      <c r="G90" t="s">
        <v>344</v>
      </c>
      <c r="H90" t="s">
        <v>343</v>
      </c>
      <c r="I90" t="str">
        <f>HYPERLINK("https://zfin.org/ZDB-GENE-080204-7")</f>
        <v>https://zfin.org/ZDB-GENE-080204-7</v>
      </c>
      <c r="J90" t="s">
        <v>342</v>
      </c>
    </row>
    <row r="91" spans="1:10" x14ac:dyDescent="0.2">
      <c r="A91">
        <v>2.4823850460950701E-130</v>
      </c>
      <c r="B91">
        <v>1.1129446505660101</v>
      </c>
      <c r="C91">
        <v>0.64900000000000002</v>
      </c>
      <c r="D91">
        <v>4.1000000000000002E-2</v>
      </c>
      <c r="E91">
        <v>3.8434767668689998E-126</v>
      </c>
      <c r="F91" t="s">
        <v>340</v>
      </c>
      <c r="G91" t="s">
        <v>341</v>
      </c>
      <c r="H91" t="s">
        <v>340</v>
      </c>
      <c r="I91" t="str">
        <f>HYPERLINK("https://zfin.org/ZDB-GENE-030131-7806")</f>
        <v>https://zfin.org/ZDB-GENE-030131-7806</v>
      </c>
      <c r="J91" t="s">
        <v>339</v>
      </c>
    </row>
    <row r="92" spans="1:10" x14ac:dyDescent="0.2">
      <c r="A92">
        <v>3.8453614397041902E-130</v>
      </c>
      <c r="B92">
        <v>0.70038892370419803</v>
      </c>
      <c r="C92">
        <v>0.437</v>
      </c>
      <c r="D92">
        <v>2E-3</v>
      </c>
      <c r="E92">
        <v>5.9537731170940104E-126</v>
      </c>
      <c r="F92" t="s">
        <v>337</v>
      </c>
      <c r="G92" t="s">
        <v>338</v>
      </c>
      <c r="H92" t="s">
        <v>337</v>
      </c>
      <c r="I92" t="str">
        <f>HYPERLINK("https://zfin.org/ZDB-GENE-060503-339")</f>
        <v>https://zfin.org/ZDB-GENE-060503-339</v>
      </c>
      <c r="J92" t="s">
        <v>336</v>
      </c>
    </row>
    <row r="93" spans="1:10" x14ac:dyDescent="0.2">
      <c r="A93">
        <v>1.0455190262267E-129</v>
      </c>
      <c r="B93">
        <v>0.74713843901672705</v>
      </c>
      <c r="C93">
        <v>0.49399999999999999</v>
      </c>
      <c r="D93">
        <v>0.01</v>
      </c>
      <c r="E93">
        <v>1.6187771083068101E-125</v>
      </c>
      <c r="F93" t="s">
        <v>334</v>
      </c>
      <c r="G93" t="s">
        <v>335</v>
      </c>
      <c r="H93" t="s">
        <v>334</v>
      </c>
      <c r="I93" t="str">
        <f>HYPERLINK("https://zfin.org/ZDB-GENE-070705-179")</f>
        <v>https://zfin.org/ZDB-GENE-070705-179</v>
      </c>
      <c r="J93" t="s">
        <v>333</v>
      </c>
    </row>
    <row r="94" spans="1:10" x14ac:dyDescent="0.2">
      <c r="A94">
        <v>1.5909189762302301E-128</v>
      </c>
      <c r="B94">
        <v>0.82838123032569499</v>
      </c>
      <c r="C94">
        <v>0.48899999999999999</v>
      </c>
      <c r="D94">
        <v>0.01</v>
      </c>
      <c r="E94">
        <v>2.4632198508972599E-124</v>
      </c>
      <c r="F94" t="s">
        <v>331</v>
      </c>
      <c r="G94" t="s">
        <v>332</v>
      </c>
      <c r="H94" t="s">
        <v>331</v>
      </c>
      <c r="I94" t="str">
        <f>HYPERLINK("https://zfin.org/ZDB-GENE-060201-2")</f>
        <v>https://zfin.org/ZDB-GENE-060201-2</v>
      </c>
      <c r="J94" t="s">
        <v>330</v>
      </c>
    </row>
    <row r="95" spans="1:10" x14ac:dyDescent="0.2">
      <c r="A95">
        <v>2.3545114402985198E-128</v>
      </c>
      <c r="B95">
        <v>0.91373515032660602</v>
      </c>
      <c r="C95">
        <v>0.55700000000000005</v>
      </c>
      <c r="D95">
        <v>2.1000000000000001E-2</v>
      </c>
      <c r="E95">
        <v>3.6454900630142002E-124</v>
      </c>
      <c r="F95" t="s">
        <v>328</v>
      </c>
      <c r="G95" t="s">
        <v>329</v>
      </c>
      <c r="H95" t="s">
        <v>328</v>
      </c>
      <c r="I95" t="str">
        <f>HYPERLINK("https://zfin.org/ZDB-GENE-030131-2193")</f>
        <v>https://zfin.org/ZDB-GENE-030131-2193</v>
      </c>
      <c r="J95" t="s">
        <v>327</v>
      </c>
    </row>
    <row r="96" spans="1:10" x14ac:dyDescent="0.2">
      <c r="A96">
        <v>4.3375746768733599E-128</v>
      </c>
      <c r="B96">
        <v>1.2612695425937099</v>
      </c>
      <c r="C96">
        <v>0.54</v>
      </c>
      <c r="D96">
        <v>1.9E-2</v>
      </c>
      <c r="E96">
        <v>6.7158668722030301E-124</v>
      </c>
      <c r="F96" t="s">
        <v>325</v>
      </c>
      <c r="G96" t="s">
        <v>326</v>
      </c>
      <c r="H96" t="s">
        <v>325</v>
      </c>
      <c r="I96" t="str">
        <f>HYPERLINK("https://zfin.org/ZDB-GENE-030131-7778")</f>
        <v>https://zfin.org/ZDB-GENE-030131-7778</v>
      </c>
      <c r="J96" t="s">
        <v>324</v>
      </c>
    </row>
    <row r="97" spans="1:10" x14ac:dyDescent="0.2">
      <c r="A97">
        <v>5.1385467551480296E-128</v>
      </c>
      <c r="B97">
        <v>0.97880717143556495</v>
      </c>
      <c r="C97">
        <v>0.52300000000000002</v>
      </c>
      <c r="D97">
        <v>1.6E-2</v>
      </c>
      <c r="E97">
        <v>7.9560119409956894E-124</v>
      </c>
      <c r="F97" t="s">
        <v>322</v>
      </c>
      <c r="G97" t="s">
        <v>323</v>
      </c>
      <c r="H97" t="s">
        <v>322</v>
      </c>
      <c r="I97" t="str">
        <f>HYPERLINK("https://zfin.org/ZDB-GENE-070206-10")</f>
        <v>https://zfin.org/ZDB-GENE-070206-10</v>
      </c>
      <c r="J97" t="s">
        <v>321</v>
      </c>
    </row>
    <row r="98" spans="1:10" x14ac:dyDescent="0.2">
      <c r="A98">
        <v>1.3001442968059201E-127</v>
      </c>
      <c r="B98">
        <v>1.8882892765932799</v>
      </c>
      <c r="C98">
        <v>0.94299999999999995</v>
      </c>
      <c r="D98">
        <v>0.19900000000000001</v>
      </c>
      <c r="E98">
        <v>2.01301341474461E-123</v>
      </c>
      <c r="F98" t="s">
        <v>319</v>
      </c>
      <c r="G98" t="s">
        <v>320</v>
      </c>
      <c r="H98" t="s">
        <v>319</v>
      </c>
      <c r="I98" t="str">
        <f>HYPERLINK("https://zfin.org/ZDB-GENE-070424-267")</f>
        <v>https://zfin.org/ZDB-GENE-070424-267</v>
      </c>
      <c r="J98" t="s">
        <v>318</v>
      </c>
    </row>
    <row r="99" spans="1:10" x14ac:dyDescent="0.2">
      <c r="A99">
        <v>2.1947426133405999E-127</v>
      </c>
      <c r="B99">
        <v>0.89141436716963296</v>
      </c>
      <c r="C99">
        <v>0.51100000000000001</v>
      </c>
      <c r="D99">
        <v>1.2999999999999999E-2</v>
      </c>
      <c r="E99">
        <v>3.3981199882352503E-123</v>
      </c>
      <c r="F99" t="s">
        <v>316</v>
      </c>
      <c r="G99" t="s">
        <v>317</v>
      </c>
      <c r="H99" t="s">
        <v>316</v>
      </c>
      <c r="I99" t="str">
        <f>HYPERLINK("https://zfin.org/ZDB-GENE-081104-457")</f>
        <v>https://zfin.org/ZDB-GENE-081104-457</v>
      </c>
      <c r="J99" t="s">
        <v>315</v>
      </c>
    </row>
    <row r="100" spans="1:10" x14ac:dyDescent="0.2">
      <c r="A100">
        <v>1.4846107472180401E-126</v>
      </c>
      <c r="B100">
        <v>0.77574191045372098</v>
      </c>
      <c r="C100">
        <v>0.48899999999999999</v>
      </c>
      <c r="D100">
        <v>0.01</v>
      </c>
      <c r="E100">
        <v>2.2986228199177E-122</v>
      </c>
      <c r="F100" t="s">
        <v>313</v>
      </c>
      <c r="G100" t="s">
        <v>314</v>
      </c>
      <c r="H100" t="s">
        <v>313</v>
      </c>
      <c r="I100" t="str">
        <f>HYPERLINK("https://zfin.org/ZDB-GENE-160114-87")</f>
        <v>https://zfin.org/ZDB-GENE-160114-87</v>
      </c>
      <c r="J100" t="s">
        <v>312</v>
      </c>
    </row>
    <row r="101" spans="1:10" x14ac:dyDescent="0.2">
      <c r="A101">
        <v>1.01003587689791E-125</v>
      </c>
      <c r="B101">
        <v>0.74998839464727995</v>
      </c>
      <c r="C101">
        <v>0.51700000000000002</v>
      </c>
      <c r="D101">
        <v>1.4999999999999999E-2</v>
      </c>
      <c r="E101">
        <v>1.56383854820103E-121</v>
      </c>
      <c r="F101" t="s">
        <v>310</v>
      </c>
      <c r="G101" t="s">
        <v>311</v>
      </c>
      <c r="H101" t="s">
        <v>310</v>
      </c>
      <c r="I101" t="str">
        <f>HYPERLINK("https://zfin.org/ZDB-GENE-090313-121")</f>
        <v>https://zfin.org/ZDB-GENE-090313-121</v>
      </c>
      <c r="J101" t="s">
        <v>309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A2031-2CF5-8A41-A6D9-F58A38BA26CE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4.83203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1.66804724048999E-11</v>
      </c>
      <c r="B2">
        <v>0.68815797655446498</v>
      </c>
      <c r="C2">
        <v>0.98499999999999999</v>
      </c>
      <c r="D2">
        <v>0.86499999999999999</v>
      </c>
      <c r="E2">
        <v>2.58263754245065E-7</v>
      </c>
      <c r="F2" t="s">
        <v>204</v>
      </c>
      <c r="G2" t="s">
        <v>205</v>
      </c>
      <c r="H2" t="s">
        <v>204</v>
      </c>
      <c r="I2" t="str">
        <f>HYPERLINK("https://zfin.org/")</f>
        <v>https://zfin.org/</v>
      </c>
      <c r="J2" t="s">
        <v>206</v>
      </c>
    </row>
    <row r="3" spans="1:10" x14ac:dyDescent="0.2">
      <c r="A3">
        <v>2.0453463641280999E-10</v>
      </c>
      <c r="B3">
        <v>0.89240395705251496</v>
      </c>
      <c r="C3">
        <v>0.79100000000000004</v>
      </c>
      <c r="D3">
        <v>0.47599999999999998</v>
      </c>
      <c r="E3">
        <v>3.1668097755795301E-6</v>
      </c>
      <c r="F3" t="s">
        <v>1295</v>
      </c>
      <c r="G3" t="s">
        <v>1296</v>
      </c>
      <c r="H3" t="s">
        <v>1295</v>
      </c>
      <c r="I3" t="str">
        <f>HYPERLINK("https://zfin.org/ZDB-GENE-011212-6")</f>
        <v>https://zfin.org/ZDB-GENE-011212-6</v>
      </c>
      <c r="J3" t="s">
        <v>1294</v>
      </c>
    </row>
    <row r="4" spans="1:10" x14ac:dyDescent="0.2">
      <c r="A4">
        <v>5.0580522931168698E-8</v>
      </c>
      <c r="B4">
        <v>0.64968728530558895</v>
      </c>
      <c r="C4">
        <v>0.32800000000000001</v>
      </c>
      <c r="D4">
        <v>7.9000000000000001E-2</v>
      </c>
      <c r="E4">
        <v>7.8313823654328502E-4</v>
      </c>
      <c r="F4" t="s">
        <v>2467</v>
      </c>
      <c r="G4" t="s">
        <v>2468</v>
      </c>
      <c r="H4" t="s">
        <v>2467</v>
      </c>
      <c r="I4" t="str">
        <f>HYPERLINK("https://zfin.org/ZDB-GENE-040912-141")</f>
        <v>https://zfin.org/ZDB-GENE-040912-141</v>
      </c>
      <c r="J4" t="s">
        <v>2466</v>
      </c>
    </row>
    <row r="5" spans="1:10" x14ac:dyDescent="0.2">
      <c r="A5">
        <v>2.2546363050060499E-7</v>
      </c>
      <c r="B5">
        <v>0.50341744030024205</v>
      </c>
      <c r="C5">
        <v>0.89600000000000002</v>
      </c>
      <c r="D5">
        <v>0.78200000000000003</v>
      </c>
      <c r="E5">
        <v>3.4908533910408702E-3</v>
      </c>
      <c r="F5" t="s">
        <v>174</v>
      </c>
      <c r="G5" t="s">
        <v>175</v>
      </c>
      <c r="H5" t="s">
        <v>174</v>
      </c>
      <c r="I5" t="str">
        <f>HYPERLINK("https://zfin.org/ZDB-GENE-050308-1")</f>
        <v>https://zfin.org/ZDB-GENE-050308-1</v>
      </c>
      <c r="J5" t="s">
        <v>176</v>
      </c>
    </row>
    <row r="6" spans="1:10" x14ac:dyDescent="0.2">
      <c r="A6">
        <v>1.9240876839228998E-6</v>
      </c>
      <c r="B6">
        <v>0.42197978250128898</v>
      </c>
      <c r="C6">
        <v>0.94</v>
      </c>
      <c r="D6">
        <v>0.94399999999999995</v>
      </c>
      <c r="E6">
        <v>2.9790649610178199E-2</v>
      </c>
      <c r="F6" t="s">
        <v>34</v>
      </c>
      <c r="G6" t="s">
        <v>35</v>
      </c>
      <c r="H6" t="s">
        <v>34</v>
      </c>
      <c r="I6" t="str">
        <f>HYPERLINK("https://zfin.org/ZDB-GENE-030131-3532")</f>
        <v>https://zfin.org/ZDB-GENE-030131-3532</v>
      </c>
      <c r="J6" t="s">
        <v>36</v>
      </c>
    </row>
    <row r="7" spans="1:10" x14ac:dyDescent="0.2">
      <c r="A7">
        <v>3.18995744899103E-6</v>
      </c>
      <c r="B7">
        <v>0.51768813125941404</v>
      </c>
      <c r="C7">
        <v>0.68700000000000006</v>
      </c>
      <c r="D7">
        <v>0.38900000000000001</v>
      </c>
      <c r="E7">
        <v>4.9390111182728097E-2</v>
      </c>
      <c r="F7" t="s">
        <v>1196</v>
      </c>
      <c r="G7" t="s">
        <v>1197</v>
      </c>
      <c r="H7" t="s">
        <v>1196</v>
      </c>
      <c r="I7" t="str">
        <f>HYPERLINK("https://zfin.org/ZDB-GENE-061103-283")</f>
        <v>https://zfin.org/ZDB-GENE-061103-283</v>
      </c>
      <c r="J7" t="s">
        <v>1195</v>
      </c>
    </row>
    <row r="8" spans="1:10" x14ac:dyDescent="0.2">
      <c r="A8">
        <v>3.19925190399116E-6</v>
      </c>
      <c r="B8">
        <v>0.30234376576070499</v>
      </c>
      <c r="C8">
        <v>0.104</v>
      </c>
      <c r="D8">
        <v>4.0000000000000001E-3</v>
      </c>
      <c r="E8">
        <v>4.9534017229495103E-2</v>
      </c>
      <c r="F8" t="s">
        <v>3251</v>
      </c>
      <c r="G8" t="s">
        <v>3252</v>
      </c>
      <c r="H8" t="s">
        <v>3251</v>
      </c>
      <c r="I8" t="str">
        <f>HYPERLINK("https://zfin.org/ZDB-GENE-070615-19")</f>
        <v>https://zfin.org/ZDB-GENE-070615-19</v>
      </c>
      <c r="J8" t="s">
        <v>3250</v>
      </c>
    </row>
    <row r="9" spans="1:10" x14ac:dyDescent="0.2">
      <c r="A9">
        <v>3.5992297671400301E-6</v>
      </c>
      <c r="B9">
        <v>0.338528268430909</v>
      </c>
      <c r="C9">
        <v>0.11899999999999999</v>
      </c>
      <c r="D9">
        <v>8.0000000000000002E-3</v>
      </c>
      <c r="E9">
        <v>5.5726874484629103E-2</v>
      </c>
      <c r="F9" t="s">
        <v>3248</v>
      </c>
      <c r="G9" t="s">
        <v>3249</v>
      </c>
      <c r="H9" t="s">
        <v>3248</v>
      </c>
      <c r="I9" t="str">
        <f>HYPERLINK("https://zfin.org/ZDB-GENE-070912-373")</f>
        <v>https://zfin.org/ZDB-GENE-070912-373</v>
      </c>
      <c r="J9" t="s">
        <v>3247</v>
      </c>
    </row>
    <row r="10" spans="1:10" x14ac:dyDescent="0.2">
      <c r="A10">
        <v>5.1899766252176897E-6</v>
      </c>
      <c r="B10">
        <v>0.72103243158770902</v>
      </c>
      <c r="C10">
        <v>0.52200000000000002</v>
      </c>
      <c r="D10">
        <v>0.27400000000000002</v>
      </c>
      <c r="E10">
        <v>8.0356408088245596E-2</v>
      </c>
      <c r="F10" t="s">
        <v>2470</v>
      </c>
      <c r="G10" t="s">
        <v>2471</v>
      </c>
      <c r="H10" t="s">
        <v>2470</v>
      </c>
      <c r="I10" t="str">
        <f>HYPERLINK("https://zfin.org/ZDB-GENE-120215-186")</f>
        <v>https://zfin.org/ZDB-GENE-120215-186</v>
      </c>
      <c r="J10" t="s">
        <v>2469</v>
      </c>
    </row>
    <row r="11" spans="1:10" x14ac:dyDescent="0.2">
      <c r="A11">
        <v>9.6397170153373408E-6</v>
      </c>
      <c r="B11">
        <v>0.40165573729072401</v>
      </c>
      <c r="C11">
        <v>0.86599999999999999</v>
      </c>
      <c r="D11">
        <v>0.65500000000000003</v>
      </c>
      <c r="E11">
        <v>0.14925173854846799</v>
      </c>
      <c r="F11" t="s">
        <v>1274</v>
      </c>
      <c r="G11" t="s">
        <v>1275</v>
      </c>
      <c r="H11" t="s">
        <v>1274</v>
      </c>
      <c r="I11" t="str">
        <f>HYPERLINK("https://zfin.org/ZDB-GENE-031016-2")</f>
        <v>https://zfin.org/ZDB-GENE-031016-2</v>
      </c>
      <c r="J11" t="s">
        <v>1273</v>
      </c>
    </row>
    <row r="12" spans="1:10" x14ac:dyDescent="0.2">
      <c r="A12">
        <v>2.57122584694795E-5</v>
      </c>
      <c r="B12">
        <v>0.62761729464220795</v>
      </c>
      <c r="C12">
        <v>0.373</v>
      </c>
      <c r="D12">
        <v>0.14699999999999999</v>
      </c>
      <c r="E12">
        <v>0.398102897882951</v>
      </c>
      <c r="F12" t="s">
        <v>1172</v>
      </c>
      <c r="G12" t="s">
        <v>1173</v>
      </c>
      <c r="H12" t="s">
        <v>1172</v>
      </c>
      <c r="I12" t="str">
        <f>HYPERLINK("https://zfin.org/ZDB-GENE-051030-98")</f>
        <v>https://zfin.org/ZDB-GENE-051030-98</v>
      </c>
      <c r="J12" t="s">
        <v>1171</v>
      </c>
    </row>
    <row r="13" spans="1:10" x14ac:dyDescent="0.2">
      <c r="A13">
        <v>3.9740171683939E-5</v>
      </c>
      <c r="B13">
        <v>0.45239072499966598</v>
      </c>
      <c r="C13">
        <v>0.58199999999999996</v>
      </c>
      <c r="D13">
        <v>0.28199999999999997</v>
      </c>
      <c r="E13">
        <v>0.61529707818242696</v>
      </c>
      <c r="F13" t="s">
        <v>1169</v>
      </c>
      <c r="G13" t="s">
        <v>1170</v>
      </c>
      <c r="H13" t="s">
        <v>1169</v>
      </c>
      <c r="I13" t="str">
        <f>HYPERLINK("https://zfin.org/ZDB-GENE-060503-288")</f>
        <v>https://zfin.org/ZDB-GENE-060503-288</v>
      </c>
      <c r="J13" t="s">
        <v>1168</v>
      </c>
    </row>
    <row r="14" spans="1:10" x14ac:dyDescent="0.2">
      <c r="A14">
        <v>7.6046405930820895E-5</v>
      </c>
      <c r="B14">
        <v>0.32258827529174</v>
      </c>
      <c r="C14">
        <v>0.97</v>
      </c>
      <c r="D14">
        <v>0.92900000000000005</v>
      </c>
      <c r="E14">
        <v>1</v>
      </c>
      <c r="F14" t="s">
        <v>31</v>
      </c>
      <c r="G14" t="s">
        <v>32</v>
      </c>
      <c r="H14" t="s">
        <v>31</v>
      </c>
      <c r="I14" t="str">
        <f>HYPERLINK("https://zfin.org/ZDB-GENE-060316-3")</f>
        <v>https://zfin.org/ZDB-GENE-060316-3</v>
      </c>
      <c r="J14" t="s">
        <v>33</v>
      </c>
    </row>
    <row r="15" spans="1:10" x14ac:dyDescent="0.2">
      <c r="A15">
        <v>1.14232614776961E-4</v>
      </c>
      <c r="B15">
        <v>0.35773102793917499</v>
      </c>
      <c r="C15">
        <v>0.104</v>
      </c>
      <c r="D15">
        <v>1.2E-2</v>
      </c>
      <c r="E15">
        <v>1</v>
      </c>
      <c r="F15" t="s">
        <v>3245</v>
      </c>
      <c r="G15" t="s">
        <v>3246</v>
      </c>
      <c r="H15" t="s">
        <v>3245</v>
      </c>
      <c r="I15" t="str">
        <f>HYPERLINK("https://zfin.org/ZDB-GENE-050522-220")</f>
        <v>https://zfin.org/ZDB-GENE-050522-220</v>
      </c>
      <c r="J15" t="s">
        <v>3244</v>
      </c>
    </row>
    <row r="16" spans="1:10" x14ac:dyDescent="0.2">
      <c r="A16">
        <v>1.3773534788050199E-4</v>
      </c>
      <c r="B16">
        <v>0.43855022108644498</v>
      </c>
      <c r="C16">
        <v>0.224</v>
      </c>
      <c r="D16">
        <v>6.7000000000000004E-2</v>
      </c>
      <c r="E16">
        <v>1</v>
      </c>
      <c r="F16" t="s">
        <v>3242</v>
      </c>
      <c r="G16" t="s">
        <v>3243</v>
      </c>
      <c r="H16" t="s">
        <v>3242</v>
      </c>
      <c r="I16" t="str">
        <f>HYPERLINK("https://zfin.org/ZDB-GENE-040625-27")</f>
        <v>https://zfin.org/ZDB-GENE-040625-27</v>
      </c>
      <c r="J16" t="s">
        <v>3241</v>
      </c>
    </row>
    <row r="17" spans="1:10" x14ac:dyDescent="0.2">
      <c r="A17">
        <v>1.5194140025989199E-4</v>
      </c>
      <c r="B17">
        <v>0.36962073182720201</v>
      </c>
      <c r="C17">
        <v>0.97</v>
      </c>
      <c r="D17">
        <v>0.94399999999999995</v>
      </c>
      <c r="E17">
        <v>1</v>
      </c>
      <c r="F17" t="s">
        <v>37</v>
      </c>
      <c r="G17" t="s">
        <v>38</v>
      </c>
      <c r="H17" t="s">
        <v>37</v>
      </c>
      <c r="I17" t="str">
        <f>HYPERLINK("https://zfin.org/ZDB-GENE-110411-160")</f>
        <v>https://zfin.org/ZDB-GENE-110411-160</v>
      </c>
      <c r="J17" t="s">
        <v>39</v>
      </c>
    </row>
    <row r="18" spans="1:10" x14ac:dyDescent="0.2">
      <c r="A18">
        <v>2.2095174384776601E-4</v>
      </c>
      <c r="B18">
        <v>0.31166497265444099</v>
      </c>
      <c r="C18">
        <v>0.20899999999999999</v>
      </c>
      <c r="D18">
        <v>0.06</v>
      </c>
      <c r="E18">
        <v>1</v>
      </c>
      <c r="F18" t="s">
        <v>664</v>
      </c>
      <c r="G18" t="s">
        <v>665</v>
      </c>
      <c r="H18" t="s">
        <v>664</v>
      </c>
      <c r="I18" t="str">
        <f>HYPERLINK("https://zfin.org/ZDB-GENE-050320-11")</f>
        <v>https://zfin.org/ZDB-GENE-050320-11</v>
      </c>
      <c r="J18" t="s">
        <v>663</v>
      </c>
    </row>
    <row r="19" spans="1:10" x14ac:dyDescent="0.2">
      <c r="A19">
        <v>2.2238165811402699E-4</v>
      </c>
      <c r="B19">
        <v>0.42874422202947099</v>
      </c>
      <c r="C19">
        <v>0.28399999999999997</v>
      </c>
      <c r="D19">
        <v>0.107</v>
      </c>
      <c r="E19">
        <v>1</v>
      </c>
      <c r="F19" t="s">
        <v>3239</v>
      </c>
      <c r="G19" t="s">
        <v>3240</v>
      </c>
      <c r="H19" t="s">
        <v>3239</v>
      </c>
      <c r="I19" t="str">
        <f>HYPERLINK("https://zfin.org/ZDB-GENE-040426-1268")</f>
        <v>https://zfin.org/ZDB-GENE-040426-1268</v>
      </c>
      <c r="J19" t="s">
        <v>3238</v>
      </c>
    </row>
    <row r="20" spans="1:10" x14ac:dyDescent="0.2">
      <c r="A20">
        <v>2.2833920308764201E-4</v>
      </c>
      <c r="B20">
        <v>0.52591503876246104</v>
      </c>
      <c r="C20">
        <v>0.23899999999999999</v>
      </c>
      <c r="D20">
        <v>7.9000000000000001E-2</v>
      </c>
      <c r="E20">
        <v>1</v>
      </c>
      <c r="F20" t="s">
        <v>1518</v>
      </c>
      <c r="G20" t="s">
        <v>1519</v>
      </c>
      <c r="H20" t="s">
        <v>1518</v>
      </c>
      <c r="I20" t="str">
        <f>HYPERLINK("https://zfin.org/ZDB-GENE-030311-1")</f>
        <v>https://zfin.org/ZDB-GENE-030311-1</v>
      </c>
      <c r="J20" t="s">
        <v>1517</v>
      </c>
    </row>
    <row r="21" spans="1:10" x14ac:dyDescent="0.2">
      <c r="A21">
        <v>2.3220147163415301E-4</v>
      </c>
      <c r="B21">
        <v>0.460260193776169</v>
      </c>
      <c r="C21">
        <v>0.224</v>
      </c>
      <c r="D21">
        <v>7.0999999999999994E-2</v>
      </c>
      <c r="E21">
        <v>1</v>
      </c>
      <c r="F21" t="s">
        <v>1776</v>
      </c>
      <c r="G21" t="s">
        <v>1777</v>
      </c>
      <c r="H21" t="s">
        <v>1776</v>
      </c>
      <c r="I21" t="str">
        <f>HYPERLINK("https://zfin.org/ZDB-GENE-040718-186")</f>
        <v>https://zfin.org/ZDB-GENE-040718-186</v>
      </c>
      <c r="J21" t="s">
        <v>1775</v>
      </c>
    </row>
    <row r="22" spans="1:10" x14ac:dyDescent="0.2">
      <c r="A22">
        <v>2.36682661199645E-4</v>
      </c>
      <c r="B22">
        <v>0.50406169604960605</v>
      </c>
      <c r="C22">
        <v>0.11899999999999999</v>
      </c>
      <c r="D22">
        <v>0.02</v>
      </c>
      <c r="E22">
        <v>1</v>
      </c>
      <c r="F22" t="s">
        <v>1271</v>
      </c>
      <c r="G22" t="s">
        <v>1272</v>
      </c>
      <c r="H22" t="s">
        <v>1271</v>
      </c>
      <c r="I22" t="str">
        <f>HYPERLINK("https://zfin.org/ZDB-GENE-081104-210")</f>
        <v>https://zfin.org/ZDB-GENE-081104-210</v>
      </c>
      <c r="J22" t="s">
        <v>1270</v>
      </c>
    </row>
    <row r="23" spans="1:10" x14ac:dyDescent="0.2">
      <c r="A23">
        <v>2.4426131124615701E-4</v>
      </c>
      <c r="B23">
        <v>0.39508692928995498</v>
      </c>
      <c r="C23">
        <v>0.26900000000000002</v>
      </c>
      <c r="D23">
        <v>9.9000000000000005E-2</v>
      </c>
      <c r="E23">
        <v>1</v>
      </c>
      <c r="F23" t="s">
        <v>3236</v>
      </c>
      <c r="G23" t="s">
        <v>3237</v>
      </c>
      <c r="H23" t="s">
        <v>3236</v>
      </c>
      <c r="I23" t="str">
        <f>HYPERLINK("https://zfin.org/ZDB-GENE-041212-79")</f>
        <v>https://zfin.org/ZDB-GENE-041212-79</v>
      </c>
      <c r="J23" t="s">
        <v>3235</v>
      </c>
    </row>
    <row r="24" spans="1:10" x14ac:dyDescent="0.2">
      <c r="A24">
        <v>2.77824036129566E-4</v>
      </c>
      <c r="B24">
        <v>0.356959453779295</v>
      </c>
      <c r="C24">
        <v>0.16400000000000001</v>
      </c>
      <c r="D24">
        <v>0.04</v>
      </c>
      <c r="E24">
        <v>1</v>
      </c>
      <c r="F24" t="s">
        <v>3233</v>
      </c>
      <c r="G24" t="s">
        <v>3234</v>
      </c>
      <c r="H24" t="s">
        <v>3233</v>
      </c>
      <c r="I24" t="str">
        <f>HYPERLINK("https://zfin.org/ZDB-GENE-110411-225")</f>
        <v>https://zfin.org/ZDB-GENE-110411-225</v>
      </c>
      <c r="J24" t="s">
        <v>3232</v>
      </c>
    </row>
    <row r="25" spans="1:10" x14ac:dyDescent="0.2">
      <c r="A25">
        <v>3.1514935296141799E-4</v>
      </c>
      <c r="B25">
        <v>0.31215447183252998</v>
      </c>
      <c r="C25">
        <v>0.17899999999999999</v>
      </c>
      <c r="D25">
        <v>4.8000000000000001E-2</v>
      </c>
      <c r="E25">
        <v>1</v>
      </c>
      <c r="F25" t="s">
        <v>3230</v>
      </c>
      <c r="G25" t="s">
        <v>3231</v>
      </c>
      <c r="H25" t="s">
        <v>3230</v>
      </c>
      <c r="I25" t="str">
        <f>HYPERLINK("https://zfin.org/ZDB-GENE-040718-46")</f>
        <v>https://zfin.org/ZDB-GENE-040718-46</v>
      </c>
      <c r="J25" t="s">
        <v>3229</v>
      </c>
    </row>
    <row r="26" spans="1:10" x14ac:dyDescent="0.2">
      <c r="A26">
        <v>3.8547783999320901E-4</v>
      </c>
      <c r="B26">
        <v>0.40252779655177401</v>
      </c>
      <c r="C26">
        <v>0.70099999999999996</v>
      </c>
      <c r="D26">
        <v>0.55200000000000005</v>
      </c>
      <c r="E26">
        <v>1</v>
      </c>
      <c r="F26" t="s">
        <v>1202</v>
      </c>
      <c r="G26" t="s">
        <v>1203</v>
      </c>
      <c r="H26" t="s">
        <v>1202</v>
      </c>
      <c r="I26" t="str">
        <f>HYPERLINK("https://zfin.org/ZDB-GENE-030911-2")</f>
        <v>https://zfin.org/ZDB-GENE-030911-2</v>
      </c>
      <c r="J26" t="s">
        <v>1201</v>
      </c>
    </row>
    <row r="27" spans="1:10" x14ac:dyDescent="0.2">
      <c r="A27">
        <v>3.8854534930476303E-4</v>
      </c>
      <c r="B27">
        <v>0.31306251469699597</v>
      </c>
      <c r="C27">
        <v>0.104</v>
      </c>
      <c r="D27">
        <v>1.6E-2</v>
      </c>
      <c r="E27">
        <v>1</v>
      </c>
      <c r="F27" t="s">
        <v>3227</v>
      </c>
      <c r="G27" t="s">
        <v>3228</v>
      </c>
      <c r="H27" t="s">
        <v>3227</v>
      </c>
      <c r="I27" t="str">
        <f>HYPERLINK("https://zfin.org/ZDB-GENE-131126-72")</f>
        <v>https://zfin.org/ZDB-GENE-131126-72</v>
      </c>
      <c r="J27" t="s">
        <v>3226</v>
      </c>
    </row>
    <row r="28" spans="1:10" x14ac:dyDescent="0.2">
      <c r="A28">
        <v>4.0994037478624698E-4</v>
      </c>
      <c r="B28">
        <v>0.27985592466793802</v>
      </c>
      <c r="C28">
        <v>0.104</v>
      </c>
      <c r="D28">
        <v>1.6E-2</v>
      </c>
      <c r="E28">
        <v>1</v>
      </c>
      <c r="F28" t="s">
        <v>3224</v>
      </c>
      <c r="G28" t="s">
        <v>3225</v>
      </c>
      <c r="H28" t="s">
        <v>3224</v>
      </c>
      <c r="I28" t="str">
        <f>HYPERLINK("https://zfin.org/ZDB-GENE-040801-2")</f>
        <v>https://zfin.org/ZDB-GENE-040801-2</v>
      </c>
      <c r="J28" t="s">
        <v>3223</v>
      </c>
    </row>
    <row r="29" spans="1:10" x14ac:dyDescent="0.2">
      <c r="A29">
        <v>4.5110264040127502E-4</v>
      </c>
      <c r="B29">
        <v>0.31580125132647502</v>
      </c>
      <c r="C29">
        <v>0.17899999999999999</v>
      </c>
      <c r="D29">
        <v>5.1999999999999998E-2</v>
      </c>
      <c r="E29">
        <v>1</v>
      </c>
      <c r="F29" t="s">
        <v>3221</v>
      </c>
      <c r="G29" t="s">
        <v>3222</v>
      </c>
      <c r="H29" t="s">
        <v>3221</v>
      </c>
      <c r="I29" t="str">
        <f>HYPERLINK("https://zfin.org/ZDB-GENE-030131-41")</f>
        <v>https://zfin.org/ZDB-GENE-030131-41</v>
      </c>
      <c r="J29" t="s">
        <v>3220</v>
      </c>
    </row>
    <row r="30" spans="1:10" x14ac:dyDescent="0.2">
      <c r="A30">
        <v>4.64215317041738E-4</v>
      </c>
      <c r="B30">
        <v>0.31605307871189697</v>
      </c>
      <c r="C30">
        <v>0.104</v>
      </c>
      <c r="D30">
        <v>1.6E-2</v>
      </c>
      <c r="E30">
        <v>1</v>
      </c>
      <c r="F30" t="s">
        <v>3218</v>
      </c>
      <c r="G30" t="s">
        <v>3219</v>
      </c>
      <c r="H30" t="s">
        <v>3218</v>
      </c>
      <c r="I30" t="str">
        <f>HYPERLINK("https://zfin.org/ZDB-GENE-030131-3232")</f>
        <v>https://zfin.org/ZDB-GENE-030131-3232</v>
      </c>
      <c r="J30" t="s">
        <v>3217</v>
      </c>
    </row>
    <row r="31" spans="1:10" x14ac:dyDescent="0.2">
      <c r="A31">
        <v>4.6649680505072498E-4</v>
      </c>
      <c r="B31">
        <v>0.45446099333687701</v>
      </c>
      <c r="C31">
        <v>0.53700000000000003</v>
      </c>
      <c r="D31">
        <v>0.34899999999999998</v>
      </c>
      <c r="E31">
        <v>1</v>
      </c>
      <c r="F31" t="s">
        <v>3215</v>
      </c>
      <c r="G31" t="s">
        <v>3216</v>
      </c>
      <c r="H31" t="s">
        <v>3215</v>
      </c>
      <c r="I31" t="str">
        <f>HYPERLINK("https://zfin.org/ZDB-GENE-130206-10")</f>
        <v>https://zfin.org/ZDB-GENE-130206-10</v>
      </c>
      <c r="J31" t="s">
        <v>3214</v>
      </c>
    </row>
    <row r="32" spans="1:10" x14ac:dyDescent="0.2">
      <c r="A32">
        <v>4.9121251413372202E-4</v>
      </c>
      <c r="B32">
        <v>0.41402100623745097</v>
      </c>
      <c r="C32">
        <v>0.40300000000000002</v>
      </c>
      <c r="D32">
        <v>0.19800000000000001</v>
      </c>
      <c r="E32">
        <v>1</v>
      </c>
      <c r="F32" t="s">
        <v>3212</v>
      </c>
      <c r="G32" t="s">
        <v>3213</v>
      </c>
      <c r="H32" t="s">
        <v>3212</v>
      </c>
      <c r="I32" t="str">
        <f>HYPERLINK("https://zfin.org/ZDB-GENE-040426-2745")</f>
        <v>https://zfin.org/ZDB-GENE-040426-2745</v>
      </c>
      <c r="J32" t="s">
        <v>3211</v>
      </c>
    </row>
    <row r="33" spans="1:10" x14ac:dyDescent="0.2">
      <c r="A33">
        <v>4.9571632133588704E-4</v>
      </c>
      <c r="B33">
        <v>0.44412276051029198</v>
      </c>
      <c r="C33">
        <v>0.67200000000000004</v>
      </c>
      <c r="D33">
        <v>0.47199999999999998</v>
      </c>
      <c r="E33">
        <v>1</v>
      </c>
      <c r="F33" t="s">
        <v>1223</v>
      </c>
      <c r="G33" t="s">
        <v>1224</v>
      </c>
      <c r="H33" t="s">
        <v>1223</v>
      </c>
      <c r="I33" t="str">
        <f>HYPERLINK("https://zfin.org/ZDB-GENE-000406-5")</f>
        <v>https://zfin.org/ZDB-GENE-000406-5</v>
      </c>
      <c r="J33" t="s">
        <v>1222</v>
      </c>
    </row>
    <row r="34" spans="1:10" x14ac:dyDescent="0.2">
      <c r="A34">
        <v>4.9636480337480603E-4</v>
      </c>
      <c r="B34">
        <v>0.40268789884335698</v>
      </c>
      <c r="C34">
        <v>0.70099999999999996</v>
      </c>
      <c r="D34">
        <v>0.48</v>
      </c>
      <c r="E34">
        <v>1</v>
      </c>
      <c r="F34" t="s">
        <v>3209</v>
      </c>
      <c r="G34" t="s">
        <v>3210</v>
      </c>
      <c r="H34" t="s">
        <v>3209</v>
      </c>
      <c r="I34" t="str">
        <f>HYPERLINK("https://zfin.org/ZDB-GENE-030707-1")</f>
        <v>https://zfin.org/ZDB-GENE-030707-1</v>
      </c>
      <c r="J34" t="s">
        <v>3208</v>
      </c>
    </row>
    <row r="35" spans="1:10" x14ac:dyDescent="0.2">
      <c r="A35">
        <v>5.0347324699792E-4</v>
      </c>
      <c r="B35">
        <v>0.450397815295844</v>
      </c>
      <c r="C35">
        <v>0.224</v>
      </c>
      <c r="D35">
        <v>7.9000000000000001E-2</v>
      </c>
      <c r="E35">
        <v>1</v>
      </c>
      <c r="F35" t="s">
        <v>1626</v>
      </c>
      <c r="G35" t="s">
        <v>1627</v>
      </c>
      <c r="H35" t="s">
        <v>1626</v>
      </c>
      <c r="I35" t="str">
        <f>HYPERLINK("https://zfin.org/ZDB-GENE-030131-3264")</f>
        <v>https://zfin.org/ZDB-GENE-030131-3264</v>
      </c>
      <c r="J35" t="s">
        <v>1625</v>
      </c>
    </row>
    <row r="36" spans="1:10" x14ac:dyDescent="0.2">
      <c r="A36">
        <v>5.1458032820059999E-4</v>
      </c>
      <c r="B36">
        <v>0.35271427272046602</v>
      </c>
      <c r="C36">
        <v>0.17899999999999999</v>
      </c>
      <c r="D36">
        <v>5.1999999999999998E-2</v>
      </c>
      <c r="E36">
        <v>1</v>
      </c>
      <c r="F36" t="s">
        <v>3206</v>
      </c>
      <c r="G36" t="s">
        <v>3207</v>
      </c>
      <c r="H36" t="s">
        <v>3206</v>
      </c>
      <c r="I36" t="str">
        <f>HYPERLINK("https://zfin.org/ZDB-GENE-040426-1262")</f>
        <v>https://zfin.org/ZDB-GENE-040426-1262</v>
      </c>
      <c r="J36" t="s">
        <v>3205</v>
      </c>
    </row>
    <row r="37" spans="1:10" x14ac:dyDescent="0.2">
      <c r="A37">
        <v>5.4523967177827904E-4</v>
      </c>
      <c r="B37">
        <v>0.35131680220890699</v>
      </c>
      <c r="C37">
        <v>0.313</v>
      </c>
      <c r="D37">
        <v>0.13100000000000001</v>
      </c>
      <c r="E37">
        <v>1</v>
      </c>
      <c r="F37" t="s">
        <v>3203</v>
      </c>
      <c r="G37" t="s">
        <v>3204</v>
      </c>
      <c r="H37" t="s">
        <v>3203</v>
      </c>
      <c r="I37" t="str">
        <f>HYPERLINK("https://zfin.org/")</f>
        <v>https://zfin.org/</v>
      </c>
    </row>
    <row r="38" spans="1:10" x14ac:dyDescent="0.2">
      <c r="A38">
        <v>6.2546252213643502E-4</v>
      </c>
      <c r="B38">
        <v>0.43774511754769901</v>
      </c>
      <c r="C38">
        <v>0.19400000000000001</v>
      </c>
      <c r="D38">
        <v>6.3E-2</v>
      </c>
      <c r="E38">
        <v>1</v>
      </c>
      <c r="F38" t="s">
        <v>3201</v>
      </c>
      <c r="G38" t="s">
        <v>3202</v>
      </c>
      <c r="H38" t="s">
        <v>3201</v>
      </c>
      <c r="I38" t="str">
        <f>HYPERLINK("https://zfin.org/ZDB-GENE-040704-75")</f>
        <v>https://zfin.org/ZDB-GENE-040704-75</v>
      </c>
      <c r="J38" t="s">
        <v>3200</v>
      </c>
    </row>
    <row r="39" spans="1:10" x14ac:dyDescent="0.2">
      <c r="A39">
        <v>7.3252025728124195E-4</v>
      </c>
      <c r="B39">
        <v>0.30403512505486802</v>
      </c>
      <c r="C39">
        <v>0.17899999999999999</v>
      </c>
      <c r="D39">
        <v>5.1999999999999998E-2</v>
      </c>
      <c r="E39">
        <v>1</v>
      </c>
      <c r="F39" t="s">
        <v>3198</v>
      </c>
      <c r="G39" t="s">
        <v>3199</v>
      </c>
      <c r="H39" t="s">
        <v>3198</v>
      </c>
      <c r="I39" t="str">
        <f>HYPERLINK("https://zfin.org/ZDB-GENE-040724-144")</f>
        <v>https://zfin.org/ZDB-GENE-040724-144</v>
      </c>
      <c r="J39" t="s">
        <v>3197</v>
      </c>
    </row>
    <row r="40" spans="1:10" x14ac:dyDescent="0.2">
      <c r="A40">
        <v>7.3547621291883902E-4</v>
      </c>
      <c r="B40">
        <v>0.39651886235198902</v>
      </c>
      <c r="C40">
        <v>0.32800000000000001</v>
      </c>
      <c r="D40">
        <v>0.14699999999999999</v>
      </c>
      <c r="E40">
        <v>1</v>
      </c>
      <c r="F40" t="s">
        <v>3195</v>
      </c>
      <c r="G40" t="s">
        <v>3196</v>
      </c>
      <c r="H40" t="s">
        <v>3195</v>
      </c>
      <c r="I40" t="str">
        <f>HYPERLINK("https://zfin.org/ZDB-GENE-040912-139")</f>
        <v>https://zfin.org/ZDB-GENE-040912-139</v>
      </c>
      <c r="J40" t="s">
        <v>3194</v>
      </c>
    </row>
    <row r="41" spans="1:10" x14ac:dyDescent="0.2">
      <c r="A41">
        <v>7.6867012353775202E-4</v>
      </c>
      <c r="B41">
        <v>0.29588991949856602</v>
      </c>
      <c r="C41">
        <v>0.83599999999999997</v>
      </c>
      <c r="D41">
        <v>0.75</v>
      </c>
      <c r="E41">
        <v>1</v>
      </c>
      <c r="F41" t="s">
        <v>3192</v>
      </c>
      <c r="G41" t="s">
        <v>3193</v>
      </c>
      <c r="H41" t="s">
        <v>3192</v>
      </c>
      <c r="I41" t="str">
        <f>HYPERLINK("https://zfin.org/ZDB-GENE-040426-1566")</f>
        <v>https://zfin.org/ZDB-GENE-040426-1566</v>
      </c>
      <c r="J41" t="s">
        <v>3191</v>
      </c>
    </row>
    <row r="42" spans="1:10" x14ac:dyDescent="0.2">
      <c r="A42">
        <v>8.3252868165735699E-4</v>
      </c>
      <c r="B42">
        <v>0.53334764762758302</v>
      </c>
      <c r="C42">
        <v>0.77600000000000002</v>
      </c>
      <c r="D42">
        <v>0.72199999999999998</v>
      </c>
      <c r="E42">
        <v>1</v>
      </c>
      <c r="F42" t="s">
        <v>103</v>
      </c>
      <c r="G42" t="s">
        <v>104</v>
      </c>
      <c r="H42" t="s">
        <v>103</v>
      </c>
      <c r="I42" t="str">
        <f>HYPERLINK("https://zfin.org/ZDB-GENE-041121-18")</f>
        <v>https://zfin.org/ZDB-GENE-041121-18</v>
      </c>
      <c r="J42" t="s">
        <v>105</v>
      </c>
    </row>
    <row r="43" spans="1:10" x14ac:dyDescent="0.2">
      <c r="A43">
        <v>8.3591471838907099E-4</v>
      </c>
      <c r="B43">
        <v>0.32114764519973399</v>
      </c>
      <c r="C43">
        <v>0.13400000000000001</v>
      </c>
      <c r="D43">
        <v>3.2000000000000001E-2</v>
      </c>
      <c r="E43">
        <v>1</v>
      </c>
      <c r="F43" t="s">
        <v>3189</v>
      </c>
      <c r="G43" t="s">
        <v>3190</v>
      </c>
      <c r="H43" t="s">
        <v>3189</v>
      </c>
      <c r="I43" t="str">
        <f>HYPERLINK("https://zfin.org/ZDB-GENE-040426-2593")</f>
        <v>https://zfin.org/ZDB-GENE-040426-2593</v>
      </c>
      <c r="J43" t="s">
        <v>3188</v>
      </c>
    </row>
    <row r="44" spans="1:10" x14ac:dyDescent="0.2">
      <c r="A44">
        <v>9.4412885592718798E-4</v>
      </c>
      <c r="B44">
        <v>0.56626545773913695</v>
      </c>
      <c r="C44">
        <v>0.52200000000000002</v>
      </c>
      <c r="D44">
        <v>0.34899999999999998</v>
      </c>
      <c r="E44">
        <v>1</v>
      </c>
      <c r="F44" t="s">
        <v>1259</v>
      </c>
      <c r="G44" t="s">
        <v>1260</v>
      </c>
      <c r="H44" t="s">
        <v>1259</v>
      </c>
      <c r="I44" t="str">
        <f>HYPERLINK("https://zfin.org/ZDB-GENE-010606-1")</f>
        <v>https://zfin.org/ZDB-GENE-010606-1</v>
      </c>
      <c r="J44" t="s">
        <v>1258</v>
      </c>
    </row>
    <row r="45" spans="1:10" x14ac:dyDescent="0.2">
      <c r="A45">
        <v>1.21719674700019E-3</v>
      </c>
      <c r="B45">
        <v>0.25866139829621398</v>
      </c>
      <c r="C45">
        <v>0.104</v>
      </c>
      <c r="D45">
        <v>0.02</v>
      </c>
      <c r="E45">
        <v>1</v>
      </c>
      <c r="F45" t="s">
        <v>3186</v>
      </c>
      <c r="G45" t="s">
        <v>3187</v>
      </c>
      <c r="H45" t="s">
        <v>3186</v>
      </c>
      <c r="I45" t="str">
        <f>HYPERLINK("https://zfin.org/ZDB-GENE-030131-3548")</f>
        <v>https://zfin.org/ZDB-GENE-030131-3548</v>
      </c>
      <c r="J45" t="s">
        <v>3185</v>
      </c>
    </row>
    <row r="46" spans="1:10" x14ac:dyDescent="0.2">
      <c r="A46">
        <v>1.22338510711357E-3</v>
      </c>
      <c r="B46">
        <v>0.360035417758723</v>
      </c>
      <c r="C46">
        <v>0.40300000000000002</v>
      </c>
      <c r="D46">
        <v>0.214</v>
      </c>
      <c r="E46">
        <v>1</v>
      </c>
      <c r="F46" t="s">
        <v>3183</v>
      </c>
      <c r="G46" t="s">
        <v>3184</v>
      </c>
      <c r="H46" t="s">
        <v>3183</v>
      </c>
      <c r="I46" t="str">
        <f>HYPERLINK("https://zfin.org/ZDB-GENE-050522-90")</f>
        <v>https://zfin.org/ZDB-GENE-050522-90</v>
      </c>
      <c r="J46" t="s">
        <v>3182</v>
      </c>
    </row>
    <row r="47" spans="1:10" x14ac:dyDescent="0.2">
      <c r="A47">
        <v>1.2270015550878001E-3</v>
      </c>
      <c r="B47">
        <v>0.364748828250825</v>
      </c>
      <c r="C47">
        <v>0.254</v>
      </c>
      <c r="D47">
        <v>9.9000000000000005E-2</v>
      </c>
      <c r="E47">
        <v>1</v>
      </c>
      <c r="F47" t="s">
        <v>3180</v>
      </c>
      <c r="G47" t="s">
        <v>3181</v>
      </c>
      <c r="H47" t="s">
        <v>3180</v>
      </c>
      <c r="I47" t="str">
        <f>HYPERLINK("https://zfin.org/ZDB-GENE-030131-1459")</f>
        <v>https://zfin.org/ZDB-GENE-030131-1459</v>
      </c>
      <c r="J47" t="s">
        <v>3179</v>
      </c>
    </row>
    <row r="48" spans="1:10" x14ac:dyDescent="0.2">
      <c r="A48">
        <v>1.23661085836139E-3</v>
      </c>
      <c r="B48">
        <v>0.28304495236552901</v>
      </c>
      <c r="C48">
        <v>0.104</v>
      </c>
      <c r="D48">
        <v>0.02</v>
      </c>
      <c r="E48">
        <v>1</v>
      </c>
      <c r="F48" t="s">
        <v>3177</v>
      </c>
      <c r="G48" t="s">
        <v>3178</v>
      </c>
      <c r="H48" t="s">
        <v>3177</v>
      </c>
      <c r="I48" t="str">
        <f>HYPERLINK("https://zfin.org/ZDB-GENE-060503-507")</f>
        <v>https://zfin.org/ZDB-GENE-060503-507</v>
      </c>
      <c r="J48" t="s">
        <v>3176</v>
      </c>
    </row>
    <row r="49" spans="1:10" x14ac:dyDescent="0.2">
      <c r="A49">
        <v>1.3380421040099801E-3</v>
      </c>
      <c r="B49">
        <v>0.26284491580882202</v>
      </c>
      <c r="C49">
        <v>0.104</v>
      </c>
      <c r="D49">
        <v>0.02</v>
      </c>
      <c r="E49">
        <v>1</v>
      </c>
      <c r="F49" t="s">
        <v>3174</v>
      </c>
      <c r="G49" t="s">
        <v>3175</v>
      </c>
      <c r="H49" t="s">
        <v>3174</v>
      </c>
      <c r="I49" t="str">
        <f>HYPERLINK("https://zfin.org/ZDB-GENE-101101-4")</f>
        <v>https://zfin.org/ZDB-GENE-101101-4</v>
      </c>
      <c r="J49" t="s">
        <v>3173</v>
      </c>
    </row>
    <row r="50" spans="1:10" x14ac:dyDescent="0.2">
      <c r="A50">
        <v>1.3922536160078101E-3</v>
      </c>
      <c r="B50">
        <v>0.33377849638157903</v>
      </c>
      <c r="C50">
        <v>0.224</v>
      </c>
      <c r="D50">
        <v>8.6999999999999994E-2</v>
      </c>
      <c r="E50">
        <v>1</v>
      </c>
      <c r="F50" t="s">
        <v>3171</v>
      </c>
      <c r="G50" t="s">
        <v>3172</v>
      </c>
      <c r="H50" t="s">
        <v>3171</v>
      </c>
      <c r="I50" t="str">
        <f>HYPERLINK("https://zfin.org/ZDB-GENE-041118-20")</f>
        <v>https://zfin.org/ZDB-GENE-041118-20</v>
      </c>
      <c r="J50" t="s">
        <v>3170</v>
      </c>
    </row>
    <row r="51" spans="1:10" x14ac:dyDescent="0.2">
      <c r="A51">
        <v>1.68954950354519E-3</v>
      </c>
      <c r="B51">
        <v>0.46942967339536601</v>
      </c>
      <c r="C51">
        <v>0.20899999999999999</v>
      </c>
      <c r="D51">
        <v>7.9000000000000001E-2</v>
      </c>
      <c r="E51">
        <v>1</v>
      </c>
      <c r="F51" t="s">
        <v>3168</v>
      </c>
      <c r="G51" t="s">
        <v>3169</v>
      </c>
      <c r="H51" t="s">
        <v>3168</v>
      </c>
      <c r="I51" t="str">
        <f>HYPERLINK("https://zfin.org/ZDB-GENE-041010-66")</f>
        <v>https://zfin.org/ZDB-GENE-041010-66</v>
      </c>
      <c r="J51" t="s">
        <v>3167</v>
      </c>
    </row>
    <row r="52" spans="1:10" x14ac:dyDescent="0.2">
      <c r="A52">
        <v>1.72184999094029E-3</v>
      </c>
      <c r="B52">
        <v>0.32558543460643502</v>
      </c>
      <c r="C52">
        <v>0.627</v>
      </c>
      <c r="D52">
        <v>0.40899999999999997</v>
      </c>
      <c r="E52">
        <v>1</v>
      </c>
      <c r="F52" t="s">
        <v>2521</v>
      </c>
      <c r="G52" t="s">
        <v>2522</v>
      </c>
      <c r="H52" t="s">
        <v>2521</v>
      </c>
      <c r="I52" t="str">
        <f>HYPERLINK("https://zfin.org/ZDB-GENE-040912-148")</f>
        <v>https://zfin.org/ZDB-GENE-040912-148</v>
      </c>
      <c r="J52" t="s">
        <v>2520</v>
      </c>
    </row>
    <row r="53" spans="1:10" x14ac:dyDescent="0.2">
      <c r="A53">
        <v>1.8238077765983E-3</v>
      </c>
      <c r="B53">
        <v>0.330601005336573</v>
      </c>
      <c r="C53">
        <v>0.13400000000000001</v>
      </c>
      <c r="D53">
        <v>3.5999999999999997E-2</v>
      </c>
      <c r="E53">
        <v>1</v>
      </c>
      <c r="F53" t="s">
        <v>3165</v>
      </c>
      <c r="G53" t="s">
        <v>3166</v>
      </c>
      <c r="H53" t="s">
        <v>3165</v>
      </c>
      <c r="I53" t="str">
        <f>HYPERLINK("https://zfin.org/ZDB-GENE-040426-2464")</f>
        <v>https://zfin.org/ZDB-GENE-040426-2464</v>
      </c>
      <c r="J53" t="s">
        <v>3164</v>
      </c>
    </row>
    <row r="54" spans="1:10" x14ac:dyDescent="0.2">
      <c r="A54">
        <v>1.85876153004161E-3</v>
      </c>
      <c r="B54">
        <v>0.31665342198267599</v>
      </c>
      <c r="C54">
        <v>0.17899999999999999</v>
      </c>
      <c r="D54">
        <v>0.06</v>
      </c>
      <c r="E54">
        <v>1</v>
      </c>
      <c r="F54" t="s">
        <v>2503</v>
      </c>
      <c r="G54" t="s">
        <v>2504</v>
      </c>
      <c r="H54" t="s">
        <v>2503</v>
      </c>
      <c r="I54" t="str">
        <f>HYPERLINK("https://zfin.org/ZDB-GENE-060526-117")</f>
        <v>https://zfin.org/ZDB-GENE-060526-117</v>
      </c>
      <c r="J54" t="s">
        <v>2502</v>
      </c>
    </row>
    <row r="55" spans="1:10" x14ac:dyDescent="0.2">
      <c r="A55">
        <v>2.1309581182072002E-3</v>
      </c>
      <c r="B55">
        <v>0.32153224162070998</v>
      </c>
      <c r="C55">
        <v>0.16400000000000001</v>
      </c>
      <c r="D55">
        <v>5.1999999999999998E-2</v>
      </c>
      <c r="E55">
        <v>1</v>
      </c>
      <c r="F55" t="s">
        <v>3162</v>
      </c>
      <c r="G55" t="s">
        <v>3163</v>
      </c>
      <c r="H55" t="s">
        <v>3162</v>
      </c>
      <c r="I55" t="str">
        <f>HYPERLINK("https://zfin.org/ZDB-GENE-021022-3")</f>
        <v>https://zfin.org/ZDB-GENE-021022-3</v>
      </c>
      <c r="J55" t="s">
        <v>3161</v>
      </c>
    </row>
    <row r="56" spans="1:10" x14ac:dyDescent="0.2">
      <c r="A56">
        <v>2.1629628142574501E-3</v>
      </c>
      <c r="B56">
        <v>0.41466811725019298</v>
      </c>
      <c r="C56">
        <v>0.52200000000000002</v>
      </c>
      <c r="D56">
        <v>0.34899999999999998</v>
      </c>
      <c r="E56">
        <v>1</v>
      </c>
      <c r="F56" t="s">
        <v>3159</v>
      </c>
      <c r="G56" t="s">
        <v>3160</v>
      </c>
      <c r="H56" t="s">
        <v>3159</v>
      </c>
      <c r="I56" t="str">
        <f>HYPERLINK("https://zfin.org/ZDB-GENE-040426-1060")</f>
        <v>https://zfin.org/ZDB-GENE-040426-1060</v>
      </c>
      <c r="J56" t="s">
        <v>3158</v>
      </c>
    </row>
    <row r="57" spans="1:10" x14ac:dyDescent="0.2">
      <c r="A57">
        <v>2.2089864828845301E-3</v>
      </c>
      <c r="B57">
        <v>0.51904762460010301</v>
      </c>
      <c r="C57">
        <v>0.41799999999999998</v>
      </c>
      <c r="D57">
        <v>0.254</v>
      </c>
      <c r="E57">
        <v>1</v>
      </c>
      <c r="F57" t="s">
        <v>788</v>
      </c>
      <c r="G57" t="s">
        <v>789</v>
      </c>
      <c r="H57" t="s">
        <v>788</v>
      </c>
      <c r="I57" t="str">
        <f>HYPERLINK("https://zfin.org/ZDB-GENE-040912-60")</f>
        <v>https://zfin.org/ZDB-GENE-040912-60</v>
      </c>
      <c r="J57" t="s">
        <v>787</v>
      </c>
    </row>
    <row r="58" spans="1:10" x14ac:dyDescent="0.2">
      <c r="A58">
        <v>2.3867377025870301E-3</v>
      </c>
      <c r="B58">
        <v>0.33630633011595101</v>
      </c>
      <c r="C58">
        <v>0.254</v>
      </c>
      <c r="D58">
        <v>0.111</v>
      </c>
      <c r="E58">
        <v>1</v>
      </c>
      <c r="F58" t="s">
        <v>2536</v>
      </c>
      <c r="G58" t="s">
        <v>2537</v>
      </c>
      <c r="H58" t="s">
        <v>2536</v>
      </c>
      <c r="I58" t="str">
        <f>HYPERLINK("https://zfin.org/ZDB-GENE-040426-1301")</f>
        <v>https://zfin.org/ZDB-GENE-040426-1301</v>
      </c>
      <c r="J58" t="s">
        <v>2535</v>
      </c>
    </row>
    <row r="59" spans="1:10" x14ac:dyDescent="0.2">
      <c r="A59">
        <v>2.39933616260465E-3</v>
      </c>
      <c r="B59">
        <v>0.303368626255894</v>
      </c>
      <c r="C59">
        <v>0.88100000000000001</v>
      </c>
      <c r="D59">
        <v>0.78600000000000003</v>
      </c>
      <c r="E59">
        <v>1</v>
      </c>
      <c r="F59" t="s">
        <v>1515</v>
      </c>
      <c r="G59" t="s">
        <v>1516</v>
      </c>
      <c r="H59" t="s">
        <v>1515</v>
      </c>
      <c r="I59" t="str">
        <f>HYPERLINK("https://zfin.org/ZDB-GENE-061013-323")</f>
        <v>https://zfin.org/ZDB-GENE-061013-323</v>
      </c>
      <c r="J59" t="s">
        <v>1514</v>
      </c>
    </row>
    <row r="60" spans="1:10" x14ac:dyDescent="0.2">
      <c r="A60">
        <v>3.1158952586411398E-3</v>
      </c>
      <c r="B60">
        <v>0.36384845952025202</v>
      </c>
      <c r="C60">
        <v>0.23899999999999999</v>
      </c>
      <c r="D60">
        <v>0.10299999999999999</v>
      </c>
      <c r="E60">
        <v>1</v>
      </c>
      <c r="F60" t="s">
        <v>3157</v>
      </c>
      <c r="G60" t="s">
        <v>3156</v>
      </c>
      <c r="H60" t="s">
        <v>3155</v>
      </c>
      <c r="I60" t="str">
        <f>HYPERLINK("https://zfin.org/ZDB-GENE-070912-73")</f>
        <v>https://zfin.org/ZDB-GENE-070912-73</v>
      </c>
      <c r="J60" t="s">
        <v>3154</v>
      </c>
    </row>
    <row r="61" spans="1:10" x14ac:dyDescent="0.2">
      <c r="A61">
        <v>3.2865196656550301E-3</v>
      </c>
      <c r="B61">
        <v>0.35102609543146002</v>
      </c>
      <c r="C61">
        <v>0.34300000000000003</v>
      </c>
      <c r="D61">
        <v>0.17499999999999999</v>
      </c>
      <c r="E61">
        <v>1</v>
      </c>
      <c r="F61" t="s">
        <v>3152</v>
      </c>
      <c r="G61" t="s">
        <v>3153</v>
      </c>
      <c r="H61" t="s">
        <v>3152</v>
      </c>
      <c r="I61" t="str">
        <f>HYPERLINK("https://zfin.org/ZDB-GENE-040426-1977")</f>
        <v>https://zfin.org/ZDB-GENE-040426-1977</v>
      </c>
      <c r="J61" t="s">
        <v>3151</v>
      </c>
    </row>
    <row r="62" spans="1:10" x14ac:dyDescent="0.2">
      <c r="A62">
        <v>4.6533612009535897E-3</v>
      </c>
      <c r="B62">
        <v>0.37423199659599599</v>
      </c>
      <c r="C62">
        <v>0.17899999999999999</v>
      </c>
      <c r="D62">
        <v>6.7000000000000004E-2</v>
      </c>
      <c r="E62">
        <v>1</v>
      </c>
      <c r="F62" t="s">
        <v>3149</v>
      </c>
      <c r="G62" t="s">
        <v>3150</v>
      </c>
      <c r="H62" t="s">
        <v>3149</v>
      </c>
      <c r="I62" t="str">
        <f>HYPERLINK("https://zfin.org/ZDB-GENE-061207-15")</f>
        <v>https://zfin.org/ZDB-GENE-061207-15</v>
      </c>
      <c r="J62" t="s">
        <v>3148</v>
      </c>
    </row>
    <row r="63" spans="1:10" x14ac:dyDescent="0.2">
      <c r="A63">
        <v>4.6604331411297696E-3</v>
      </c>
      <c r="B63">
        <v>0.28113343958921599</v>
      </c>
      <c r="C63">
        <v>0.23899999999999999</v>
      </c>
      <c r="D63">
        <v>0.107</v>
      </c>
      <c r="E63">
        <v>1</v>
      </c>
      <c r="F63" t="s">
        <v>3146</v>
      </c>
      <c r="G63" t="s">
        <v>3147</v>
      </c>
      <c r="H63" t="s">
        <v>3146</v>
      </c>
      <c r="I63" t="str">
        <f>HYPERLINK("https://zfin.org/ZDB-GENE-990603-9")</f>
        <v>https://zfin.org/ZDB-GENE-990603-9</v>
      </c>
      <c r="J63" t="s">
        <v>3145</v>
      </c>
    </row>
    <row r="64" spans="1:10" x14ac:dyDescent="0.2">
      <c r="A64">
        <v>4.7701617724835903E-3</v>
      </c>
      <c r="B64">
        <v>0.32585739418580401</v>
      </c>
      <c r="C64">
        <v>0.16400000000000001</v>
      </c>
      <c r="D64">
        <v>0.06</v>
      </c>
      <c r="E64">
        <v>1</v>
      </c>
      <c r="F64" t="s">
        <v>3143</v>
      </c>
      <c r="G64" t="s">
        <v>3144</v>
      </c>
      <c r="H64" t="s">
        <v>3143</v>
      </c>
      <c r="I64" t="str">
        <f>HYPERLINK("https://zfin.org/ZDB-GENE-060519-1")</f>
        <v>https://zfin.org/ZDB-GENE-060519-1</v>
      </c>
      <c r="J64" t="s">
        <v>3142</v>
      </c>
    </row>
    <row r="65" spans="1:10" x14ac:dyDescent="0.2">
      <c r="A65">
        <v>4.8278359366687399E-3</v>
      </c>
      <c r="B65">
        <v>0.25222674197484701</v>
      </c>
      <c r="C65">
        <v>0.32800000000000001</v>
      </c>
      <c r="D65">
        <v>0.16300000000000001</v>
      </c>
      <c r="E65">
        <v>1</v>
      </c>
      <c r="F65" t="s">
        <v>3140</v>
      </c>
      <c r="G65" t="s">
        <v>3141</v>
      </c>
      <c r="H65" t="s">
        <v>3140</v>
      </c>
      <c r="I65" t="str">
        <f>HYPERLINK("https://zfin.org/ZDB-GENE-040122-3")</f>
        <v>https://zfin.org/ZDB-GENE-040122-3</v>
      </c>
      <c r="J65" t="s">
        <v>3139</v>
      </c>
    </row>
    <row r="66" spans="1:10" x14ac:dyDescent="0.2">
      <c r="A66">
        <v>4.9051562530951897E-3</v>
      </c>
      <c r="B66">
        <v>0.44199118481132299</v>
      </c>
      <c r="C66">
        <v>0.29899999999999999</v>
      </c>
      <c r="D66">
        <v>0.151</v>
      </c>
      <c r="E66">
        <v>1</v>
      </c>
      <c r="F66" t="s">
        <v>2572</v>
      </c>
      <c r="G66" t="s">
        <v>2573</v>
      </c>
      <c r="H66" t="s">
        <v>2572</v>
      </c>
      <c r="I66" t="str">
        <f>HYPERLINK("https://zfin.org/ZDB-GENE-081104-416")</f>
        <v>https://zfin.org/ZDB-GENE-081104-416</v>
      </c>
      <c r="J66" t="s">
        <v>2571</v>
      </c>
    </row>
    <row r="67" spans="1:10" x14ac:dyDescent="0.2">
      <c r="A67">
        <v>4.97321211994295E-3</v>
      </c>
      <c r="B67">
        <v>0.29748195803795002</v>
      </c>
      <c r="C67">
        <v>0.19400000000000001</v>
      </c>
      <c r="D67">
        <v>7.4999999999999997E-2</v>
      </c>
      <c r="E67">
        <v>1</v>
      </c>
      <c r="F67" t="s">
        <v>3137</v>
      </c>
      <c r="G67" t="s">
        <v>3138</v>
      </c>
      <c r="H67" t="s">
        <v>3137</v>
      </c>
      <c r="I67" t="str">
        <f>HYPERLINK("https://zfin.org/ZDB-GENE-091204-310")</f>
        <v>https://zfin.org/ZDB-GENE-091204-310</v>
      </c>
      <c r="J67" t="s">
        <v>3136</v>
      </c>
    </row>
    <row r="68" spans="1:10" x14ac:dyDescent="0.2">
      <c r="A68">
        <v>5.1262049241258502E-3</v>
      </c>
      <c r="B68">
        <v>0.37933755021126703</v>
      </c>
      <c r="C68">
        <v>0.224</v>
      </c>
      <c r="D68">
        <v>9.9000000000000005E-2</v>
      </c>
      <c r="E68">
        <v>1</v>
      </c>
      <c r="F68" t="s">
        <v>3134</v>
      </c>
      <c r="G68" t="s">
        <v>3135</v>
      </c>
      <c r="H68" t="s">
        <v>3134</v>
      </c>
      <c r="I68" t="str">
        <f>HYPERLINK("https://zfin.org/ZDB-GENE-070424-163")</f>
        <v>https://zfin.org/ZDB-GENE-070424-163</v>
      </c>
      <c r="J68" t="s">
        <v>3133</v>
      </c>
    </row>
    <row r="69" spans="1:10" x14ac:dyDescent="0.2">
      <c r="A69">
        <v>5.1775424913678304E-3</v>
      </c>
      <c r="B69">
        <v>0.26347118842072997</v>
      </c>
      <c r="C69">
        <v>0.89600000000000002</v>
      </c>
      <c r="D69">
        <v>0.85299999999999998</v>
      </c>
      <c r="E69">
        <v>1</v>
      </c>
      <c r="F69" t="s">
        <v>121</v>
      </c>
      <c r="G69" t="s">
        <v>122</v>
      </c>
      <c r="H69" t="s">
        <v>121</v>
      </c>
      <c r="I69" t="str">
        <f>HYPERLINK("https://zfin.org/ZDB-GENE-040426-2740")</f>
        <v>https://zfin.org/ZDB-GENE-040426-2740</v>
      </c>
      <c r="J69" t="s">
        <v>123</v>
      </c>
    </row>
    <row r="70" spans="1:10" x14ac:dyDescent="0.2">
      <c r="A70">
        <v>5.6017378894413503E-3</v>
      </c>
      <c r="B70">
        <v>0.362039477629791</v>
      </c>
      <c r="C70">
        <v>0.35799999999999998</v>
      </c>
      <c r="D70">
        <v>0.20599999999999999</v>
      </c>
      <c r="E70">
        <v>1</v>
      </c>
      <c r="F70" t="s">
        <v>3131</v>
      </c>
      <c r="G70" t="s">
        <v>3132</v>
      </c>
      <c r="H70" t="s">
        <v>3131</v>
      </c>
      <c r="I70" t="str">
        <f>HYPERLINK("https://zfin.org/ZDB-GENE-040625-164")</f>
        <v>https://zfin.org/ZDB-GENE-040625-164</v>
      </c>
      <c r="J70" t="s">
        <v>3130</v>
      </c>
    </row>
    <row r="71" spans="1:10" x14ac:dyDescent="0.2">
      <c r="A71">
        <v>5.63235651582335E-3</v>
      </c>
      <c r="B71">
        <v>0.33231711388688601</v>
      </c>
      <c r="C71">
        <v>0.14899999999999999</v>
      </c>
      <c r="D71">
        <v>5.1999999999999998E-2</v>
      </c>
      <c r="E71">
        <v>1</v>
      </c>
      <c r="F71" t="s">
        <v>1140</v>
      </c>
      <c r="G71" t="s">
        <v>1141</v>
      </c>
      <c r="H71" t="s">
        <v>1140</v>
      </c>
      <c r="I71" t="str">
        <f>HYPERLINK("https://zfin.org/ZDB-GENE-030131-2614")</f>
        <v>https://zfin.org/ZDB-GENE-030131-2614</v>
      </c>
      <c r="J71" t="s">
        <v>1139</v>
      </c>
    </row>
    <row r="72" spans="1:10" x14ac:dyDescent="0.2">
      <c r="A72">
        <v>6.1061334027556497E-3</v>
      </c>
      <c r="B72">
        <v>0.343942148032374</v>
      </c>
      <c r="C72">
        <v>0.55200000000000005</v>
      </c>
      <c r="D72">
        <v>0.36499999999999999</v>
      </c>
      <c r="E72">
        <v>1</v>
      </c>
      <c r="F72" t="s">
        <v>2551</v>
      </c>
      <c r="G72" t="s">
        <v>2552</v>
      </c>
      <c r="H72" t="s">
        <v>2551</v>
      </c>
      <c r="I72" t="str">
        <f>HYPERLINK("https://zfin.org/ZDB-GENE-040912-24")</f>
        <v>https://zfin.org/ZDB-GENE-040912-24</v>
      </c>
      <c r="J72" t="s">
        <v>2550</v>
      </c>
    </row>
    <row r="73" spans="1:10" x14ac:dyDescent="0.2">
      <c r="A73">
        <v>6.3348145982918096E-3</v>
      </c>
      <c r="B73">
        <v>0.28720587573015299</v>
      </c>
      <c r="C73">
        <v>0.11899999999999999</v>
      </c>
      <c r="D73">
        <v>3.5999999999999997E-2</v>
      </c>
      <c r="E73">
        <v>1</v>
      </c>
      <c r="F73" t="s">
        <v>3128</v>
      </c>
      <c r="G73" t="s">
        <v>3129</v>
      </c>
      <c r="H73" t="s">
        <v>3128</v>
      </c>
      <c r="I73" t="str">
        <f>HYPERLINK("https://zfin.org/ZDB-GENE-010416-1")</f>
        <v>https://zfin.org/ZDB-GENE-010416-1</v>
      </c>
      <c r="J73" t="s">
        <v>3127</v>
      </c>
    </row>
    <row r="74" spans="1:10" x14ac:dyDescent="0.2">
      <c r="A74">
        <v>6.3855412971165204E-3</v>
      </c>
      <c r="B74">
        <v>0.42576417781784498</v>
      </c>
      <c r="C74">
        <v>0.627</v>
      </c>
      <c r="D74">
        <v>0.48799999999999999</v>
      </c>
      <c r="E74">
        <v>1</v>
      </c>
      <c r="F74" t="s">
        <v>1092</v>
      </c>
      <c r="G74" t="s">
        <v>1093</v>
      </c>
      <c r="H74" t="s">
        <v>1092</v>
      </c>
      <c r="I74" t="str">
        <f>HYPERLINK("https://zfin.org/ZDB-GENE-030131-261")</f>
        <v>https://zfin.org/ZDB-GENE-030131-261</v>
      </c>
      <c r="J74" t="s">
        <v>1091</v>
      </c>
    </row>
    <row r="75" spans="1:10" x14ac:dyDescent="0.2">
      <c r="A75">
        <v>6.3885978293401098E-3</v>
      </c>
      <c r="B75">
        <v>0.32966292027359501</v>
      </c>
      <c r="C75">
        <v>0.73099999999999998</v>
      </c>
      <c r="D75">
        <v>0.60299999999999998</v>
      </c>
      <c r="E75">
        <v>1</v>
      </c>
      <c r="F75" t="s">
        <v>153</v>
      </c>
      <c r="G75" t="s">
        <v>154</v>
      </c>
      <c r="H75" t="s">
        <v>153</v>
      </c>
      <c r="I75" t="str">
        <f>HYPERLINK("https://zfin.org/ZDB-GENE-990715-6")</f>
        <v>https://zfin.org/ZDB-GENE-990715-6</v>
      </c>
      <c r="J75" t="s">
        <v>155</v>
      </c>
    </row>
    <row r="76" spans="1:10" x14ac:dyDescent="0.2">
      <c r="A76">
        <v>6.55345767791541E-3</v>
      </c>
      <c r="B76">
        <v>0.26553369998871201</v>
      </c>
      <c r="C76">
        <v>0.13400000000000001</v>
      </c>
      <c r="D76">
        <v>4.3999999999999997E-2</v>
      </c>
      <c r="E76">
        <v>1</v>
      </c>
      <c r="F76" t="s">
        <v>3125</v>
      </c>
      <c r="G76" t="s">
        <v>3126</v>
      </c>
      <c r="H76" t="s">
        <v>3125</v>
      </c>
      <c r="I76" t="str">
        <f>HYPERLINK("https://zfin.org/ZDB-GENE-040426-2883")</f>
        <v>https://zfin.org/ZDB-GENE-040426-2883</v>
      </c>
      <c r="J76" t="s">
        <v>3124</v>
      </c>
    </row>
    <row r="77" spans="1:10" x14ac:dyDescent="0.2">
      <c r="A77">
        <v>6.71243144876773E-3</v>
      </c>
      <c r="B77">
        <v>0.28529904487455798</v>
      </c>
      <c r="C77">
        <v>0.11899999999999999</v>
      </c>
      <c r="D77">
        <v>3.5999999999999997E-2</v>
      </c>
      <c r="E77">
        <v>1</v>
      </c>
      <c r="F77" t="s">
        <v>3122</v>
      </c>
      <c r="G77" t="s">
        <v>3123</v>
      </c>
      <c r="H77" t="s">
        <v>3122</v>
      </c>
      <c r="I77" t="str">
        <f>HYPERLINK("https://zfin.org/ZDB-GENE-041010-181")</f>
        <v>https://zfin.org/ZDB-GENE-041010-181</v>
      </c>
      <c r="J77" t="s">
        <v>3121</v>
      </c>
    </row>
    <row r="78" spans="1:10" x14ac:dyDescent="0.2">
      <c r="A78">
        <v>6.8025323330688304E-3</v>
      </c>
      <c r="B78">
        <v>0.254342935583247</v>
      </c>
      <c r="C78">
        <v>0.34300000000000003</v>
      </c>
      <c r="D78">
        <v>0.17899999999999999</v>
      </c>
      <c r="E78">
        <v>1</v>
      </c>
      <c r="F78" t="s">
        <v>3119</v>
      </c>
      <c r="G78" t="s">
        <v>3120</v>
      </c>
      <c r="H78" t="s">
        <v>3119</v>
      </c>
      <c r="I78" t="str">
        <f>HYPERLINK("https://zfin.org/ZDB-GENE-101001-2")</f>
        <v>https://zfin.org/ZDB-GENE-101001-2</v>
      </c>
      <c r="J78" t="s">
        <v>3118</v>
      </c>
    </row>
    <row r="79" spans="1:10" x14ac:dyDescent="0.2">
      <c r="A79">
        <v>7.0275046985277204E-3</v>
      </c>
      <c r="B79">
        <v>0.33643042066094098</v>
      </c>
      <c r="C79">
        <v>0.40300000000000002</v>
      </c>
      <c r="D79">
        <v>0.24199999999999999</v>
      </c>
      <c r="E79">
        <v>1</v>
      </c>
      <c r="F79" t="s">
        <v>631</v>
      </c>
      <c r="G79" t="s">
        <v>632</v>
      </c>
      <c r="H79" t="s">
        <v>631</v>
      </c>
      <c r="I79" t="str">
        <f>HYPERLINK("https://zfin.org/ZDB-GENE-030131-5606")</f>
        <v>https://zfin.org/ZDB-GENE-030131-5606</v>
      </c>
      <c r="J79" t="s">
        <v>630</v>
      </c>
    </row>
    <row r="80" spans="1:10" x14ac:dyDescent="0.2">
      <c r="A80">
        <v>7.0622638777532599E-3</v>
      </c>
      <c r="B80">
        <v>0.251479745454396</v>
      </c>
      <c r="C80">
        <v>0.13400000000000001</v>
      </c>
      <c r="D80">
        <v>4.3999999999999997E-2</v>
      </c>
      <c r="E80">
        <v>1</v>
      </c>
      <c r="F80" t="s">
        <v>3116</v>
      </c>
      <c r="G80" t="s">
        <v>3117</v>
      </c>
      <c r="H80" t="s">
        <v>3116</v>
      </c>
      <c r="I80" t="str">
        <f>HYPERLINK("https://zfin.org/ZDB-GENE-041114-64")</f>
        <v>https://zfin.org/ZDB-GENE-041114-64</v>
      </c>
      <c r="J80" t="s">
        <v>3115</v>
      </c>
    </row>
    <row r="81" spans="1:10" x14ac:dyDescent="0.2">
      <c r="A81">
        <v>7.1811030264351903E-3</v>
      </c>
      <c r="B81">
        <v>0.28425216677558202</v>
      </c>
      <c r="C81">
        <v>0.73099999999999998</v>
      </c>
      <c r="D81">
        <v>0.63500000000000001</v>
      </c>
      <c r="E81">
        <v>1</v>
      </c>
      <c r="F81" t="s">
        <v>3113</v>
      </c>
      <c r="G81" t="s">
        <v>3114</v>
      </c>
      <c r="H81" t="s">
        <v>3113</v>
      </c>
      <c r="I81" t="str">
        <f>HYPERLINK("https://zfin.org/ZDB-GENE-030131-448")</f>
        <v>https://zfin.org/ZDB-GENE-030131-448</v>
      </c>
      <c r="J81" t="s">
        <v>3112</v>
      </c>
    </row>
    <row r="82" spans="1:10" x14ac:dyDescent="0.2">
      <c r="A82">
        <v>7.1956383468144902E-3</v>
      </c>
      <c r="B82">
        <v>0.626180093564496</v>
      </c>
      <c r="C82">
        <v>0.254</v>
      </c>
      <c r="D82">
        <v>0.127</v>
      </c>
      <c r="E82">
        <v>1</v>
      </c>
      <c r="F82" t="s">
        <v>3110</v>
      </c>
      <c r="G82" t="s">
        <v>3111</v>
      </c>
      <c r="H82" t="s">
        <v>3110</v>
      </c>
      <c r="I82" t="str">
        <f>HYPERLINK("https://zfin.org/")</f>
        <v>https://zfin.org/</v>
      </c>
    </row>
    <row r="83" spans="1:10" x14ac:dyDescent="0.2">
      <c r="A83">
        <v>7.3184814077657404E-3</v>
      </c>
      <c r="B83">
        <v>0.28605529751258402</v>
      </c>
      <c r="C83">
        <v>0.627</v>
      </c>
      <c r="D83">
        <v>0.433</v>
      </c>
      <c r="E83">
        <v>1</v>
      </c>
      <c r="F83" t="s">
        <v>3108</v>
      </c>
      <c r="G83" t="s">
        <v>3109</v>
      </c>
      <c r="H83" t="s">
        <v>3108</v>
      </c>
      <c r="I83" t="str">
        <f>HYPERLINK("https://zfin.org/ZDB-GENE-040426-2922")</f>
        <v>https://zfin.org/ZDB-GENE-040426-2922</v>
      </c>
      <c r="J83" t="s">
        <v>3107</v>
      </c>
    </row>
    <row r="84" spans="1:10" x14ac:dyDescent="0.2">
      <c r="A84">
        <v>7.3286489462572098E-3</v>
      </c>
      <c r="B84">
        <v>0.31128709730041598</v>
      </c>
      <c r="C84">
        <v>0.23899999999999999</v>
      </c>
      <c r="D84">
        <v>0.115</v>
      </c>
      <c r="E84">
        <v>1</v>
      </c>
      <c r="F84" t="s">
        <v>3105</v>
      </c>
      <c r="G84" t="s">
        <v>3106</v>
      </c>
      <c r="H84" t="s">
        <v>3105</v>
      </c>
      <c r="I84" t="str">
        <f>HYPERLINK("https://zfin.org/ZDB-GENE-070912-475")</f>
        <v>https://zfin.org/ZDB-GENE-070912-475</v>
      </c>
      <c r="J84" t="s">
        <v>3104</v>
      </c>
    </row>
    <row r="85" spans="1:10" x14ac:dyDescent="0.2">
      <c r="A85">
        <v>7.6003706248899397E-3</v>
      </c>
      <c r="B85">
        <v>0.299387073245304</v>
      </c>
      <c r="C85">
        <v>0.86599999999999999</v>
      </c>
      <c r="D85">
        <v>0.81</v>
      </c>
      <c r="E85">
        <v>1</v>
      </c>
      <c r="F85" t="s">
        <v>147</v>
      </c>
      <c r="G85" t="s">
        <v>148</v>
      </c>
      <c r="H85" t="s">
        <v>147</v>
      </c>
      <c r="I85" t="str">
        <f>HYPERLINK("https://zfin.org/ZDB-GENE-030410-4")</f>
        <v>https://zfin.org/ZDB-GENE-030410-4</v>
      </c>
      <c r="J85" t="s">
        <v>149</v>
      </c>
    </row>
    <row r="86" spans="1:10" x14ac:dyDescent="0.2">
      <c r="A86">
        <v>7.6999480222738502E-3</v>
      </c>
      <c r="B86">
        <v>0.288231318775164</v>
      </c>
      <c r="C86">
        <v>0.17899999999999999</v>
      </c>
      <c r="D86">
        <v>7.4999999999999997E-2</v>
      </c>
      <c r="E86">
        <v>1</v>
      </c>
      <c r="F86" t="s">
        <v>3102</v>
      </c>
      <c r="G86" t="s">
        <v>3103</v>
      </c>
      <c r="H86" t="s">
        <v>3102</v>
      </c>
      <c r="I86" t="str">
        <f>HYPERLINK("https://zfin.org/ZDB-GENE-050522-388")</f>
        <v>https://zfin.org/ZDB-GENE-050522-388</v>
      </c>
      <c r="J86" t="s">
        <v>3101</v>
      </c>
    </row>
    <row r="87" spans="1:10" x14ac:dyDescent="0.2">
      <c r="A87">
        <v>7.9450291593882102E-3</v>
      </c>
      <c r="B87">
        <v>0.36571944703758702</v>
      </c>
      <c r="C87">
        <v>0.254</v>
      </c>
      <c r="D87">
        <v>0.127</v>
      </c>
      <c r="E87">
        <v>1</v>
      </c>
      <c r="F87" t="s">
        <v>3099</v>
      </c>
      <c r="G87" t="s">
        <v>3100</v>
      </c>
      <c r="H87" t="s">
        <v>3099</v>
      </c>
      <c r="I87" t="str">
        <f>HYPERLINK("https://zfin.org/ZDB-GENE-040917-2")</f>
        <v>https://zfin.org/ZDB-GENE-040917-2</v>
      </c>
      <c r="J87" t="s">
        <v>3098</v>
      </c>
    </row>
    <row r="88" spans="1:10" x14ac:dyDescent="0.2">
      <c r="A88">
        <v>7.9524183756301096E-3</v>
      </c>
      <c r="B88">
        <v>0.36790332366883199</v>
      </c>
      <c r="C88">
        <v>0.627</v>
      </c>
      <c r="D88">
        <v>0.42099999999999999</v>
      </c>
      <c r="E88">
        <v>1</v>
      </c>
      <c r="F88" t="s">
        <v>1539</v>
      </c>
      <c r="G88" t="s">
        <v>1540</v>
      </c>
      <c r="H88" t="s">
        <v>1539</v>
      </c>
      <c r="I88" t="str">
        <f>HYPERLINK("https://zfin.org/ZDB-GENE-040912-46")</f>
        <v>https://zfin.org/ZDB-GENE-040912-46</v>
      </c>
      <c r="J88" t="s">
        <v>1538</v>
      </c>
    </row>
    <row r="89" spans="1:10" x14ac:dyDescent="0.2">
      <c r="A89">
        <v>8.0108758022995295E-3</v>
      </c>
      <c r="B89">
        <v>0.43150642518653198</v>
      </c>
      <c r="C89">
        <v>0.56699999999999995</v>
      </c>
      <c r="D89">
        <v>0.40100000000000002</v>
      </c>
      <c r="E89">
        <v>1</v>
      </c>
      <c r="F89" t="s">
        <v>1149</v>
      </c>
      <c r="G89" t="s">
        <v>1150</v>
      </c>
      <c r="H89" t="s">
        <v>1149</v>
      </c>
      <c r="I89" t="str">
        <f>HYPERLINK("https://zfin.org/ZDB-GENE-070912-648")</f>
        <v>https://zfin.org/ZDB-GENE-070912-648</v>
      </c>
      <c r="J89" t="s">
        <v>1148</v>
      </c>
    </row>
    <row r="90" spans="1:10" x14ac:dyDescent="0.2">
      <c r="A90">
        <v>8.9664183025625396E-3</v>
      </c>
      <c r="B90">
        <v>0.52642943818991295</v>
      </c>
      <c r="C90">
        <v>0.16400000000000001</v>
      </c>
      <c r="D90">
        <v>6.3E-2</v>
      </c>
      <c r="E90">
        <v>1</v>
      </c>
      <c r="F90" t="s">
        <v>1298</v>
      </c>
      <c r="G90" t="s">
        <v>1299</v>
      </c>
      <c r="H90" t="s">
        <v>1298</v>
      </c>
      <c r="I90" t="str">
        <f>HYPERLINK("https://zfin.org/ZDB-GENE-070502-5")</f>
        <v>https://zfin.org/ZDB-GENE-070502-5</v>
      </c>
      <c r="J90" t="s">
        <v>1297</v>
      </c>
    </row>
    <row r="91" spans="1:10" x14ac:dyDescent="0.2">
      <c r="A91">
        <v>9.0035107718702892E-3</v>
      </c>
      <c r="B91">
        <v>0.27829307312066898</v>
      </c>
      <c r="C91">
        <v>0.17899999999999999</v>
      </c>
      <c r="D91">
        <v>7.0999999999999994E-2</v>
      </c>
      <c r="E91">
        <v>1</v>
      </c>
      <c r="F91" t="s">
        <v>1292</v>
      </c>
      <c r="G91" t="s">
        <v>1293</v>
      </c>
      <c r="H91" t="s">
        <v>1292</v>
      </c>
      <c r="I91" t="str">
        <f>HYPERLINK("https://zfin.org/ZDB-GENE-041111-1")</f>
        <v>https://zfin.org/ZDB-GENE-041111-1</v>
      </c>
      <c r="J91" t="s">
        <v>1291</v>
      </c>
    </row>
    <row r="92" spans="1:10" x14ac:dyDescent="0.2">
      <c r="A92">
        <v>9.0035107718702892E-3</v>
      </c>
      <c r="B92">
        <v>0.26758400103249502</v>
      </c>
      <c r="C92">
        <v>0.17899999999999999</v>
      </c>
      <c r="D92">
        <v>7.0999999999999994E-2</v>
      </c>
      <c r="E92">
        <v>1</v>
      </c>
      <c r="F92" t="s">
        <v>3096</v>
      </c>
      <c r="G92" t="s">
        <v>3097</v>
      </c>
      <c r="H92" t="s">
        <v>3096</v>
      </c>
      <c r="I92" t="str">
        <f>HYPERLINK("https://zfin.org/ZDB-GENE-040822-31")</f>
        <v>https://zfin.org/ZDB-GENE-040822-31</v>
      </c>
      <c r="J92" t="s">
        <v>3095</v>
      </c>
    </row>
    <row r="93" spans="1:10" x14ac:dyDescent="0.2">
      <c r="A93">
        <v>9.3097741281180802E-3</v>
      </c>
      <c r="B93">
        <v>0.30905344385912098</v>
      </c>
      <c r="C93">
        <v>0.70099999999999996</v>
      </c>
      <c r="D93">
        <v>0.54800000000000004</v>
      </c>
      <c r="E93">
        <v>1</v>
      </c>
      <c r="F93" t="s">
        <v>2569</v>
      </c>
      <c r="G93" t="s">
        <v>2570</v>
      </c>
      <c r="H93" t="s">
        <v>2569</v>
      </c>
      <c r="I93" t="str">
        <f>HYPERLINK("https://zfin.org/ZDB-GENE-030131-9167")</f>
        <v>https://zfin.org/ZDB-GENE-030131-9167</v>
      </c>
      <c r="J93" t="s">
        <v>2568</v>
      </c>
    </row>
    <row r="94" spans="1:10" x14ac:dyDescent="0.2">
      <c r="A94">
        <v>1.00615275626061E-2</v>
      </c>
      <c r="B94">
        <v>0.285787007376263</v>
      </c>
      <c r="C94">
        <v>0.35799999999999998</v>
      </c>
      <c r="D94">
        <v>0.20599999999999999</v>
      </c>
      <c r="E94">
        <v>1</v>
      </c>
      <c r="F94" t="s">
        <v>1107</v>
      </c>
      <c r="G94" t="s">
        <v>1108</v>
      </c>
      <c r="H94" t="s">
        <v>1107</v>
      </c>
      <c r="I94" t="str">
        <f>HYPERLINK("https://zfin.org/ZDB-GENE-060526-166")</f>
        <v>https://zfin.org/ZDB-GENE-060526-166</v>
      </c>
      <c r="J94" t="s">
        <v>1106</v>
      </c>
    </row>
    <row r="95" spans="1:10" x14ac:dyDescent="0.2">
      <c r="A95">
        <v>1.0227477328683799E-2</v>
      </c>
      <c r="B95">
        <v>0.39223869277268802</v>
      </c>
      <c r="C95">
        <v>0.56699999999999995</v>
      </c>
      <c r="D95">
        <v>0.42099999999999999</v>
      </c>
      <c r="E95">
        <v>1</v>
      </c>
      <c r="F95" t="s">
        <v>1143</v>
      </c>
      <c r="G95" t="s">
        <v>1144</v>
      </c>
      <c r="H95" t="s">
        <v>1143</v>
      </c>
      <c r="I95" t="str">
        <f>HYPERLINK("https://zfin.org/ZDB-GENE-030131-6757")</f>
        <v>https://zfin.org/ZDB-GENE-030131-6757</v>
      </c>
      <c r="J95" t="s">
        <v>1142</v>
      </c>
    </row>
    <row r="96" spans="1:10" x14ac:dyDescent="0.2">
      <c r="A96">
        <v>1.06346388242833E-2</v>
      </c>
      <c r="B96">
        <v>0.432976510006708</v>
      </c>
      <c r="C96">
        <v>0.373</v>
      </c>
      <c r="D96">
        <v>0.22600000000000001</v>
      </c>
      <c r="E96">
        <v>1</v>
      </c>
      <c r="F96" t="s">
        <v>3093</v>
      </c>
      <c r="G96" t="s">
        <v>3094</v>
      </c>
      <c r="H96" t="s">
        <v>3093</v>
      </c>
      <c r="I96" t="str">
        <f>HYPERLINK("https://zfin.org/ZDB-GENE-030131-9045")</f>
        <v>https://zfin.org/ZDB-GENE-030131-9045</v>
      </c>
      <c r="J96" t="s">
        <v>3092</v>
      </c>
    </row>
    <row r="97" spans="1:10" x14ac:dyDescent="0.2">
      <c r="A97">
        <v>1.0988837728042201E-2</v>
      </c>
      <c r="B97">
        <v>0.29851309783532698</v>
      </c>
      <c r="C97">
        <v>0.16400000000000001</v>
      </c>
      <c r="D97">
        <v>6.7000000000000004E-2</v>
      </c>
      <c r="E97">
        <v>1</v>
      </c>
      <c r="F97" t="s">
        <v>3090</v>
      </c>
      <c r="G97" t="s">
        <v>3091</v>
      </c>
      <c r="H97" t="s">
        <v>3090</v>
      </c>
      <c r="I97" t="str">
        <f>HYPERLINK("https://zfin.org/ZDB-GENE-030131-3694")</f>
        <v>https://zfin.org/ZDB-GENE-030131-3694</v>
      </c>
      <c r="J97" t="s">
        <v>3089</v>
      </c>
    </row>
    <row r="98" spans="1:10" x14ac:dyDescent="0.2">
      <c r="A98">
        <v>1.12074666897905E-2</v>
      </c>
      <c r="B98">
        <v>0.440978137554077</v>
      </c>
      <c r="C98">
        <v>0.52200000000000002</v>
      </c>
      <c r="D98">
        <v>0.377</v>
      </c>
      <c r="E98">
        <v>1</v>
      </c>
      <c r="F98" t="s">
        <v>1566</v>
      </c>
      <c r="G98" t="s">
        <v>1567</v>
      </c>
      <c r="H98" t="s">
        <v>1566</v>
      </c>
      <c r="I98" t="str">
        <f>HYPERLINK("https://zfin.org/ZDB-GENE-010412-1")</f>
        <v>https://zfin.org/ZDB-GENE-010412-1</v>
      </c>
      <c r="J98" t="s">
        <v>1565</v>
      </c>
    </row>
    <row r="99" spans="1:10" x14ac:dyDescent="0.2">
      <c r="A99">
        <v>1.20841747674343E-2</v>
      </c>
      <c r="B99">
        <v>0.29220059220030897</v>
      </c>
      <c r="C99">
        <v>0.224</v>
      </c>
      <c r="D99">
        <v>0.107</v>
      </c>
      <c r="E99">
        <v>1</v>
      </c>
      <c r="F99" t="s">
        <v>2509</v>
      </c>
      <c r="G99" t="s">
        <v>2510</v>
      </c>
      <c r="H99" t="s">
        <v>2509</v>
      </c>
      <c r="I99" t="str">
        <f>HYPERLINK("https://zfin.org/ZDB-GENE-060510-4")</f>
        <v>https://zfin.org/ZDB-GENE-060510-4</v>
      </c>
      <c r="J99" t="s">
        <v>2508</v>
      </c>
    </row>
    <row r="100" spans="1:10" x14ac:dyDescent="0.2">
      <c r="A100">
        <v>1.2090472261107099E-2</v>
      </c>
      <c r="B100">
        <v>0.347183659778317</v>
      </c>
      <c r="C100">
        <v>0.224</v>
      </c>
      <c r="D100">
        <v>0.111</v>
      </c>
      <c r="E100">
        <v>1</v>
      </c>
      <c r="F100" t="s">
        <v>3087</v>
      </c>
      <c r="G100" t="s">
        <v>3088</v>
      </c>
      <c r="H100" t="s">
        <v>3087</v>
      </c>
      <c r="I100" t="str">
        <f>HYPERLINK("https://zfin.org/ZDB-GENE-060503-619")</f>
        <v>https://zfin.org/ZDB-GENE-060503-619</v>
      </c>
      <c r="J100" t="s">
        <v>3086</v>
      </c>
    </row>
    <row r="101" spans="1:10" x14ac:dyDescent="0.2">
      <c r="A101">
        <v>1.21332809900817E-2</v>
      </c>
      <c r="B101">
        <v>0.28690224083085902</v>
      </c>
      <c r="C101">
        <v>0.26900000000000002</v>
      </c>
      <c r="D101">
        <v>0.13900000000000001</v>
      </c>
      <c r="E101">
        <v>1</v>
      </c>
      <c r="F101" t="s">
        <v>3084</v>
      </c>
      <c r="G101" t="s">
        <v>3085</v>
      </c>
      <c r="H101" t="s">
        <v>3084</v>
      </c>
      <c r="I101" t="str">
        <f>HYPERLINK("https://zfin.org/ZDB-GENE-030825-6")</f>
        <v>https://zfin.org/ZDB-GENE-030825-6</v>
      </c>
      <c r="J101" t="s">
        <v>3083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C44F2-FAEF-F742-A031-B4F1400519E7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3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3.4300067470606698E-5</v>
      </c>
      <c r="B2">
        <v>-0.55879091174633</v>
      </c>
      <c r="C2">
        <v>0.76100000000000001</v>
      </c>
      <c r="D2">
        <v>0.86499999999999999</v>
      </c>
      <c r="E2">
        <v>0.53106794464740403</v>
      </c>
      <c r="F2" t="s">
        <v>64</v>
      </c>
      <c r="G2" t="s">
        <v>65</v>
      </c>
      <c r="H2" t="s">
        <v>64</v>
      </c>
      <c r="I2" t="str">
        <f>HYPERLINK("https://zfin.org/ZDB-GENE-030131-8304")</f>
        <v>https://zfin.org/ZDB-GENE-030131-8304</v>
      </c>
      <c r="J2" t="s">
        <v>66</v>
      </c>
    </row>
    <row r="3" spans="1:10" x14ac:dyDescent="0.2">
      <c r="A3">
        <v>9.4432084431567999E-5</v>
      </c>
      <c r="B3">
        <v>-0.88581473148353396</v>
      </c>
      <c r="C3">
        <v>0.373</v>
      </c>
      <c r="D3">
        <v>0.59499999999999997</v>
      </c>
      <c r="E3">
        <v>1</v>
      </c>
      <c r="F3" t="s">
        <v>1473</v>
      </c>
      <c r="G3" t="s">
        <v>1474</v>
      </c>
      <c r="H3" t="s">
        <v>1473</v>
      </c>
      <c r="I3" t="str">
        <f>HYPERLINK("https://zfin.org/ZDB-GENE-080917-47")</f>
        <v>https://zfin.org/ZDB-GENE-080917-47</v>
      </c>
      <c r="J3" t="s">
        <v>1472</v>
      </c>
    </row>
    <row r="4" spans="1:10" x14ac:dyDescent="0.2">
      <c r="A4">
        <v>1.95654866618783E-4</v>
      </c>
      <c r="B4">
        <v>-0.62302550055050498</v>
      </c>
      <c r="C4">
        <v>0.34300000000000003</v>
      </c>
      <c r="D4">
        <v>0.55600000000000005</v>
      </c>
      <c r="E4">
        <v>1</v>
      </c>
      <c r="F4" t="s">
        <v>1020</v>
      </c>
      <c r="G4" t="s">
        <v>1021</v>
      </c>
      <c r="H4" t="s">
        <v>1020</v>
      </c>
      <c r="I4" t="str">
        <f>HYPERLINK("https://zfin.org/ZDB-GENE-030131-247")</f>
        <v>https://zfin.org/ZDB-GENE-030131-247</v>
      </c>
      <c r="J4" t="s">
        <v>1019</v>
      </c>
    </row>
    <row r="5" spans="1:10" x14ac:dyDescent="0.2">
      <c r="A5">
        <v>2.3269111848157401E-4</v>
      </c>
      <c r="B5">
        <v>-0.705131817572623</v>
      </c>
      <c r="C5">
        <v>0.59699999999999998</v>
      </c>
      <c r="D5">
        <v>0.76200000000000001</v>
      </c>
      <c r="E5">
        <v>1</v>
      </c>
      <c r="F5" t="s">
        <v>2223</v>
      </c>
      <c r="G5" t="s">
        <v>2224</v>
      </c>
      <c r="H5" t="s">
        <v>2223</v>
      </c>
      <c r="I5" t="str">
        <f>HYPERLINK("https://zfin.org/ZDB-GENE-040912-122")</f>
        <v>https://zfin.org/ZDB-GENE-040912-122</v>
      </c>
      <c r="J5" t="s">
        <v>2222</v>
      </c>
    </row>
    <row r="6" spans="1:10" x14ac:dyDescent="0.2">
      <c r="A6">
        <v>2.6394214185074998E-4</v>
      </c>
      <c r="B6">
        <v>-0.51867399423903104</v>
      </c>
      <c r="C6">
        <v>0.47799999999999998</v>
      </c>
      <c r="D6">
        <v>0.68300000000000005</v>
      </c>
      <c r="E6">
        <v>1</v>
      </c>
      <c r="F6" t="s">
        <v>1337</v>
      </c>
      <c r="G6" t="s">
        <v>1338</v>
      </c>
      <c r="H6" t="s">
        <v>1337</v>
      </c>
      <c r="I6" t="str">
        <f>HYPERLINK("https://zfin.org/ZDB-GENE-110411-139")</f>
        <v>https://zfin.org/ZDB-GENE-110411-139</v>
      </c>
      <c r="J6" t="s">
        <v>1336</v>
      </c>
    </row>
    <row r="7" spans="1:10" x14ac:dyDescent="0.2">
      <c r="A7">
        <v>2.9571906762027202E-4</v>
      </c>
      <c r="B7">
        <v>-0.629640708251197</v>
      </c>
      <c r="C7">
        <v>0.433</v>
      </c>
      <c r="D7">
        <v>0.64700000000000002</v>
      </c>
      <c r="E7">
        <v>1</v>
      </c>
      <c r="F7" t="s">
        <v>1470</v>
      </c>
      <c r="G7" t="s">
        <v>1471</v>
      </c>
      <c r="H7" t="s">
        <v>1470</v>
      </c>
      <c r="I7" t="str">
        <f>HYPERLINK("https://zfin.org/ZDB-GENE-031112-4")</f>
        <v>https://zfin.org/ZDB-GENE-031112-4</v>
      </c>
      <c r="J7" t="s">
        <v>1469</v>
      </c>
    </row>
    <row r="8" spans="1:10" x14ac:dyDescent="0.2">
      <c r="A8">
        <v>5.4078041163293004E-4</v>
      </c>
      <c r="B8">
        <v>-0.85994128162163197</v>
      </c>
      <c r="C8">
        <v>0.59699999999999998</v>
      </c>
      <c r="D8">
        <v>0.71399999999999997</v>
      </c>
      <c r="E8">
        <v>1</v>
      </c>
      <c r="F8" t="s">
        <v>1485</v>
      </c>
      <c r="G8" t="s">
        <v>1486</v>
      </c>
      <c r="H8" t="s">
        <v>1485</v>
      </c>
      <c r="I8" t="str">
        <f>HYPERLINK("https://zfin.org/ZDB-GENE-070705-532")</f>
        <v>https://zfin.org/ZDB-GENE-070705-532</v>
      </c>
      <c r="J8" t="s">
        <v>1484</v>
      </c>
    </row>
    <row r="9" spans="1:10" x14ac:dyDescent="0.2">
      <c r="A9">
        <v>7.7633017426041403E-4</v>
      </c>
      <c r="B9">
        <v>-0.73814297184958499</v>
      </c>
      <c r="C9">
        <v>0.03</v>
      </c>
      <c r="D9">
        <v>0.19800000000000001</v>
      </c>
      <c r="E9">
        <v>1</v>
      </c>
      <c r="F9" t="s">
        <v>2290</v>
      </c>
      <c r="G9" t="s">
        <v>2291</v>
      </c>
      <c r="H9" t="s">
        <v>2290</v>
      </c>
      <c r="I9" t="str">
        <f>HYPERLINK("https://zfin.org/ZDB-GENE-000210-8")</f>
        <v>https://zfin.org/ZDB-GENE-000210-8</v>
      </c>
      <c r="J9" t="s">
        <v>2289</v>
      </c>
    </row>
    <row r="10" spans="1:10" x14ac:dyDescent="0.2">
      <c r="A10">
        <v>8.51671553732271E-4</v>
      </c>
      <c r="B10">
        <v>-0.60126786047693603</v>
      </c>
      <c r="C10">
        <v>0.11899999999999999</v>
      </c>
      <c r="D10">
        <v>0.32500000000000001</v>
      </c>
      <c r="E10">
        <v>1</v>
      </c>
      <c r="F10" t="s">
        <v>2303</v>
      </c>
      <c r="G10" t="s">
        <v>2304</v>
      </c>
      <c r="H10" t="s">
        <v>2303</v>
      </c>
      <c r="I10" t="str">
        <f>HYPERLINK("https://zfin.org/ZDB-GENE-031006-14")</f>
        <v>https://zfin.org/ZDB-GENE-031006-14</v>
      </c>
      <c r="J10" t="s">
        <v>2302</v>
      </c>
    </row>
    <row r="11" spans="1:10" x14ac:dyDescent="0.2">
      <c r="A11">
        <v>8.97325233127969E-4</v>
      </c>
      <c r="B11">
        <v>-0.55461519009326299</v>
      </c>
      <c r="C11">
        <v>0</v>
      </c>
      <c r="D11">
        <v>0.14699999999999999</v>
      </c>
      <c r="E11">
        <v>1</v>
      </c>
      <c r="F11" t="s">
        <v>3399</v>
      </c>
      <c r="G11" t="s">
        <v>3400</v>
      </c>
      <c r="H11" t="s">
        <v>3399</v>
      </c>
      <c r="I11" t="str">
        <f>HYPERLINK("https://zfin.org/ZDB-GENE-021209-1")</f>
        <v>https://zfin.org/ZDB-GENE-021209-1</v>
      </c>
      <c r="J11" t="s">
        <v>3398</v>
      </c>
    </row>
    <row r="12" spans="1:10" x14ac:dyDescent="0.2">
      <c r="A12">
        <v>8.97325233127969E-4</v>
      </c>
      <c r="B12">
        <v>-0.59937283125031504</v>
      </c>
      <c r="C12">
        <v>0</v>
      </c>
      <c r="D12">
        <v>0.14699999999999999</v>
      </c>
      <c r="E12">
        <v>1</v>
      </c>
      <c r="F12" t="s">
        <v>1373</v>
      </c>
      <c r="G12" t="s">
        <v>1374</v>
      </c>
      <c r="H12" t="s">
        <v>1373</v>
      </c>
      <c r="I12" t="str">
        <f>HYPERLINK("https://zfin.org/ZDB-GENE-040718-440")</f>
        <v>https://zfin.org/ZDB-GENE-040718-440</v>
      </c>
      <c r="J12" t="s">
        <v>1372</v>
      </c>
    </row>
    <row r="13" spans="1:10" x14ac:dyDescent="0.2">
      <c r="A13">
        <v>1.3765236474673501E-3</v>
      </c>
      <c r="B13">
        <v>-0.60690521191476499</v>
      </c>
      <c r="C13">
        <v>0.03</v>
      </c>
      <c r="D13">
        <v>0.187</v>
      </c>
      <c r="E13">
        <v>1</v>
      </c>
      <c r="F13" t="s">
        <v>3054</v>
      </c>
      <c r="G13" t="s">
        <v>3055</v>
      </c>
      <c r="H13" t="s">
        <v>3054</v>
      </c>
      <c r="I13" t="str">
        <f>HYPERLINK("https://zfin.org/ZDB-GENE-030909-6")</f>
        <v>https://zfin.org/ZDB-GENE-030909-6</v>
      </c>
      <c r="J13" t="s">
        <v>3053</v>
      </c>
    </row>
    <row r="14" spans="1:10" x14ac:dyDescent="0.2">
      <c r="A14">
        <v>1.44376779563409E-3</v>
      </c>
      <c r="B14">
        <v>-0.61230074968733195</v>
      </c>
      <c r="C14">
        <v>0.16400000000000001</v>
      </c>
      <c r="D14">
        <v>0.36099999999999999</v>
      </c>
      <c r="E14">
        <v>1</v>
      </c>
      <c r="F14" t="s">
        <v>1467</v>
      </c>
      <c r="G14" t="s">
        <v>1468</v>
      </c>
      <c r="H14" t="s">
        <v>1467</v>
      </c>
      <c r="I14" t="str">
        <f>HYPERLINK("https://zfin.org/ZDB-GENE-050417-338")</f>
        <v>https://zfin.org/ZDB-GENE-050417-338</v>
      </c>
      <c r="J14" t="s">
        <v>1466</v>
      </c>
    </row>
    <row r="15" spans="1:10" x14ac:dyDescent="0.2">
      <c r="A15">
        <v>1.46515872642389E-3</v>
      </c>
      <c r="B15">
        <v>-0.28588260085258799</v>
      </c>
      <c r="C15">
        <v>0.746</v>
      </c>
      <c r="D15">
        <v>0.84499999999999997</v>
      </c>
      <c r="E15">
        <v>1</v>
      </c>
      <c r="F15" t="s">
        <v>1942</v>
      </c>
      <c r="G15" t="s">
        <v>1943</v>
      </c>
      <c r="H15" t="s">
        <v>1942</v>
      </c>
      <c r="I15" t="str">
        <f>HYPERLINK("https://zfin.org/ZDB-GENE-000210-25")</f>
        <v>https://zfin.org/ZDB-GENE-000210-25</v>
      </c>
      <c r="J15" t="s">
        <v>1941</v>
      </c>
    </row>
    <row r="16" spans="1:10" x14ac:dyDescent="0.2">
      <c r="A16">
        <v>2.2213328256795099E-3</v>
      </c>
      <c r="B16">
        <v>-0.50816747941624096</v>
      </c>
      <c r="C16">
        <v>0.32800000000000001</v>
      </c>
      <c r="D16">
        <v>0.52800000000000002</v>
      </c>
      <c r="E16">
        <v>1</v>
      </c>
      <c r="F16" t="s">
        <v>1430</v>
      </c>
      <c r="G16" t="s">
        <v>1431</v>
      </c>
      <c r="H16" t="s">
        <v>1430</v>
      </c>
      <c r="I16" t="str">
        <f>HYPERLINK("https://zfin.org/ZDB-GENE-030829-65")</f>
        <v>https://zfin.org/ZDB-GENE-030829-65</v>
      </c>
      <c r="J16" t="s">
        <v>1429</v>
      </c>
    </row>
    <row r="17" spans="1:10" x14ac:dyDescent="0.2">
      <c r="A17">
        <v>2.5174881136692802E-3</v>
      </c>
      <c r="B17">
        <v>-0.43740127942292101</v>
      </c>
      <c r="C17">
        <v>1.4999999999999999E-2</v>
      </c>
      <c r="D17">
        <v>0.151</v>
      </c>
      <c r="E17">
        <v>1</v>
      </c>
      <c r="F17" t="s">
        <v>2716</v>
      </c>
      <c r="G17" t="s">
        <v>2717</v>
      </c>
      <c r="H17" t="s">
        <v>2716</v>
      </c>
      <c r="I17" t="str">
        <f>HYPERLINK("https://zfin.org/ZDB-GENE-010803-2")</f>
        <v>https://zfin.org/ZDB-GENE-010803-2</v>
      </c>
      <c r="J17" t="s">
        <v>2715</v>
      </c>
    </row>
    <row r="18" spans="1:10" x14ac:dyDescent="0.2">
      <c r="A18">
        <v>3.0405290284405001E-3</v>
      </c>
      <c r="B18">
        <v>-0.64100941242221698</v>
      </c>
      <c r="C18">
        <v>0.06</v>
      </c>
      <c r="D18">
        <v>0.21</v>
      </c>
      <c r="E18">
        <v>1</v>
      </c>
      <c r="F18" t="s">
        <v>2524</v>
      </c>
      <c r="G18" t="s">
        <v>2525</v>
      </c>
      <c r="H18" t="s">
        <v>2524</v>
      </c>
      <c r="I18" t="str">
        <f>HYPERLINK("https://zfin.org/ZDB-GENE-020419-24")</f>
        <v>https://zfin.org/ZDB-GENE-020419-24</v>
      </c>
      <c r="J18" t="s">
        <v>2523</v>
      </c>
    </row>
    <row r="19" spans="1:10" x14ac:dyDescent="0.2">
      <c r="A19">
        <v>3.1645805041935499E-3</v>
      </c>
      <c r="B19">
        <v>-0.26435605864740203</v>
      </c>
      <c r="C19">
        <v>0.83599999999999997</v>
      </c>
      <c r="D19">
        <v>0.90500000000000003</v>
      </c>
      <c r="E19">
        <v>1</v>
      </c>
      <c r="F19" t="s">
        <v>3396</v>
      </c>
      <c r="G19" t="s">
        <v>3397</v>
      </c>
      <c r="H19" t="s">
        <v>3396</v>
      </c>
      <c r="I19" t="str">
        <f>HYPERLINK("https://zfin.org/ZDB-GENE-030131-618")</f>
        <v>https://zfin.org/ZDB-GENE-030131-618</v>
      </c>
      <c r="J19" t="s">
        <v>3395</v>
      </c>
    </row>
    <row r="20" spans="1:10" x14ac:dyDescent="0.2">
      <c r="A20">
        <v>3.33213135479643E-3</v>
      </c>
      <c r="B20">
        <v>-0.50427287167321599</v>
      </c>
      <c r="C20">
        <v>0.56699999999999995</v>
      </c>
      <c r="D20">
        <v>0.68700000000000006</v>
      </c>
      <c r="E20">
        <v>1</v>
      </c>
      <c r="F20" t="s">
        <v>177</v>
      </c>
      <c r="G20" t="s">
        <v>178</v>
      </c>
      <c r="H20" t="s">
        <v>177</v>
      </c>
      <c r="I20" t="str">
        <f>HYPERLINK("https://zfin.org/ZDB-GENE-111109-2")</f>
        <v>https://zfin.org/ZDB-GENE-111109-2</v>
      </c>
      <c r="J20" t="s">
        <v>179</v>
      </c>
    </row>
    <row r="21" spans="1:10" x14ac:dyDescent="0.2">
      <c r="A21">
        <v>3.3757054284203002E-3</v>
      </c>
      <c r="B21">
        <v>-0.52383442590283502</v>
      </c>
      <c r="C21">
        <v>0.11899999999999999</v>
      </c>
      <c r="D21">
        <v>0.28999999999999998</v>
      </c>
      <c r="E21">
        <v>1</v>
      </c>
      <c r="F21" t="s">
        <v>3394</v>
      </c>
      <c r="G21" t="s">
        <v>3393</v>
      </c>
      <c r="H21" t="s">
        <v>3392</v>
      </c>
      <c r="I21" t="str">
        <f>HYPERLINK("https://zfin.org/ZDB-GENE-050306-36")</f>
        <v>https://zfin.org/ZDB-GENE-050306-36</v>
      </c>
      <c r="J21" t="s">
        <v>3391</v>
      </c>
    </row>
    <row r="22" spans="1:10" x14ac:dyDescent="0.2">
      <c r="A22">
        <v>3.5943977187271499E-3</v>
      </c>
      <c r="B22">
        <v>-0.35089122090778202</v>
      </c>
      <c r="C22">
        <v>4.4999999999999998E-2</v>
      </c>
      <c r="D22">
        <v>0.19800000000000001</v>
      </c>
      <c r="E22">
        <v>1</v>
      </c>
      <c r="F22" t="s">
        <v>3389</v>
      </c>
      <c r="G22" t="s">
        <v>3390</v>
      </c>
      <c r="H22" t="s">
        <v>3389</v>
      </c>
      <c r="I22" t="str">
        <f>HYPERLINK("https://zfin.org/ZDB-GENE-040426-1287")</f>
        <v>https://zfin.org/ZDB-GENE-040426-1287</v>
      </c>
      <c r="J22" t="s">
        <v>3388</v>
      </c>
    </row>
    <row r="23" spans="1:10" x14ac:dyDescent="0.2">
      <c r="A23">
        <v>4.0377133308800396E-3</v>
      </c>
      <c r="B23">
        <v>-0.55725576982483005</v>
      </c>
      <c r="C23">
        <v>0.03</v>
      </c>
      <c r="D23">
        <v>0.16700000000000001</v>
      </c>
      <c r="E23">
        <v>1</v>
      </c>
      <c r="F23" t="s">
        <v>3051</v>
      </c>
      <c r="G23" t="s">
        <v>3052</v>
      </c>
      <c r="H23" t="s">
        <v>3051</v>
      </c>
      <c r="I23" t="str">
        <f>HYPERLINK("https://zfin.org/ZDB-GENE-030131-9923")</f>
        <v>https://zfin.org/ZDB-GENE-030131-9923</v>
      </c>
      <c r="J23" t="s">
        <v>3050</v>
      </c>
    </row>
    <row r="24" spans="1:10" x14ac:dyDescent="0.2">
      <c r="A24">
        <v>4.2371138057748997E-3</v>
      </c>
      <c r="B24">
        <v>-0.29068092644031601</v>
      </c>
      <c r="C24">
        <v>0.95499999999999996</v>
      </c>
      <c r="D24">
        <v>0.97599999999999998</v>
      </c>
      <c r="E24">
        <v>1</v>
      </c>
      <c r="F24" t="s">
        <v>1439</v>
      </c>
      <c r="G24" t="s">
        <v>1440</v>
      </c>
      <c r="H24" t="s">
        <v>1439</v>
      </c>
      <c r="I24" t="str">
        <f>HYPERLINK("https://zfin.org/ZDB-GENE-030131-9744")</f>
        <v>https://zfin.org/ZDB-GENE-030131-9744</v>
      </c>
      <c r="J24" t="s">
        <v>1438</v>
      </c>
    </row>
    <row r="25" spans="1:10" x14ac:dyDescent="0.2">
      <c r="A25">
        <v>4.47939389533675E-3</v>
      </c>
      <c r="B25">
        <v>-0.64683390571344201</v>
      </c>
      <c r="C25">
        <v>0.06</v>
      </c>
      <c r="D25">
        <v>0.20599999999999999</v>
      </c>
      <c r="E25">
        <v>1</v>
      </c>
      <c r="F25" t="s">
        <v>2943</v>
      </c>
      <c r="G25" t="s">
        <v>2944</v>
      </c>
      <c r="H25" t="s">
        <v>2943</v>
      </c>
      <c r="I25" t="str">
        <f>HYPERLINK("https://zfin.org/ZDB-GENE-990714-11")</f>
        <v>https://zfin.org/ZDB-GENE-990714-11</v>
      </c>
      <c r="J25" t="s">
        <v>2942</v>
      </c>
    </row>
    <row r="26" spans="1:10" x14ac:dyDescent="0.2">
      <c r="A26">
        <v>4.6818890623283298E-3</v>
      </c>
      <c r="B26">
        <v>-0.53065371410009499</v>
      </c>
      <c r="C26">
        <v>0.06</v>
      </c>
      <c r="D26">
        <v>0.20200000000000001</v>
      </c>
      <c r="E26">
        <v>1</v>
      </c>
      <c r="F26" t="s">
        <v>3386</v>
      </c>
      <c r="G26" t="s">
        <v>3387</v>
      </c>
      <c r="H26" t="s">
        <v>3386</v>
      </c>
      <c r="I26" t="str">
        <f>HYPERLINK("https://zfin.org/ZDB-GENE-030616-624")</f>
        <v>https://zfin.org/ZDB-GENE-030616-624</v>
      </c>
      <c r="J26" t="s">
        <v>3385</v>
      </c>
    </row>
    <row r="27" spans="1:10" x14ac:dyDescent="0.2">
      <c r="A27">
        <v>5.1116661588907599E-3</v>
      </c>
      <c r="B27">
        <v>-0.41454236303818298</v>
      </c>
      <c r="C27">
        <v>0.254</v>
      </c>
      <c r="D27">
        <v>0.42099999999999999</v>
      </c>
      <c r="E27">
        <v>1</v>
      </c>
      <c r="F27" t="s">
        <v>1424</v>
      </c>
      <c r="G27" t="s">
        <v>1425</v>
      </c>
      <c r="H27" t="s">
        <v>1424</v>
      </c>
      <c r="I27" t="str">
        <f>HYPERLINK("https://zfin.org/ZDB-GENE-030131-5283")</f>
        <v>https://zfin.org/ZDB-GENE-030131-5283</v>
      </c>
      <c r="J27" t="s">
        <v>1423</v>
      </c>
    </row>
    <row r="28" spans="1:10" x14ac:dyDescent="0.2">
      <c r="A28">
        <v>5.1959450194989203E-3</v>
      </c>
      <c r="B28">
        <v>-0.69014814659416301</v>
      </c>
      <c r="C28">
        <v>0.29899999999999999</v>
      </c>
      <c r="D28">
        <v>0.48799999999999999</v>
      </c>
      <c r="E28">
        <v>1</v>
      </c>
      <c r="F28" t="s">
        <v>1994</v>
      </c>
      <c r="G28" t="s">
        <v>1995</v>
      </c>
      <c r="H28" t="s">
        <v>1994</v>
      </c>
      <c r="I28" t="str">
        <f>HYPERLINK("https://zfin.org/ZDB-GENE-030131-6366")</f>
        <v>https://zfin.org/ZDB-GENE-030131-6366</v>
      </c>
      <c r="J28" t="s">
        <v>1993</v>
      </c>
    </row>
    <row r="29" spans="1:10" x14ac:dyDescent="0.2">
      <c r="A29">
        <v>5.2090829077934501E-3</v>
      </c>
      <c r="B29">
        <v>-0.51592083062752503</v>
      </c>
      <c r="C29">
        <v>0.313</v>
      </c>
      <c r="D29">
        <v>0.47199999999999998</v>
      </c>
      <c r="E29">
        <v>1</v>
      </c>
      <c r="F29" t="s">
        <v>306</v>
      </c>
      <c r="G29" t="s">
        <v>307</v>
      </c>
      <c r="H29" t="s">
        <v>306</v>
      </c>
      <c r="I29" t="str">
        <f>HYPERLINK("https://zfin.org/ZDB-GENE-141215-49")</f>
        <v>https://zfin.org/ZDB-GENE-141215-49</v>
      </c>
      <c r="J29" t="s">
        <v>308</v>
      </c>
    </row>
    <row r="30" spans="1:10" x14ac:dyDescent="0.2">
      <c r="A30">
        <v>5.2866126488810899E-3</v>
      </c>
      <c r="B30">
        <v>-0.56363171143098101</v>
      </c>
      <c r="C30">
        <v>0.06</v>
      </c>
      <c r="D30">
        <v>0.19800000000000001</v>
      </c>
      <c r="E30">
        <v>1</v>
      </c>
      <c r="F30" t="s">
        <v>1453</v>
      </c>
      <c r="G30" t="s">
        <v>1454</v>
      </c>
      <c r="H30" t="s">
        <v>1453</v>
      </c>
      <c r="I30" t="str">
        <f>HYPERLINK("https://zfin.org/")</f>
        <v>https://zfin.org/</v>
      </c>
    </row>
    <row r="31" spans="1:10" x14ac:dyDescent="0.2">
      <c r="A31">
        <v>5.4070645135587498E-3</v>
      </c>
      <c r="B31">
        <v>-0.479236711152009</v>
      </c>
      <c r="C31">
        <v>0.23899999999999999</v>
      </c>
      <c r="D31">
        <v>0.39300000000000002</v>
      </c>
      <c r="E31">
        <v>1</v>
      </c>
      <c r="F31" t="s">
        <v>3383</v>
      </c>
      <c r="G31" t="s">
        <v>3384</v>
      </c>
      <c r="H31" t="s">
        <v>3383</v>
      </c>
      <c r="I31" t="str">
        <f>HYPERLINK("https://zfin.org/ZDB-GENE-030131-461")</f>
        <v>https://zfin.org/ZDB-GENE-030131-461</v>
      </c>
      <c r="J31" t="s">
        <v>3382</v>
      </c>
    </row>
    <row r="32" spans="1:10" x14ac:dyDescent="0.2">
      <c r="A32">
        <v>5.4645818801798704E-3</v>
      </c>
      <c r="B32">
        <v>-0.48572434272572601</v>
      </c>
      <c r="C32">
        <v>0.313</v>
      </c>
      <c r="D32">
        <v>0.48399999999999999</v>
      </c>
      <c r="E32">
        <v>1</v>
      </c>
      <c r="F32" t="s">
        <v>3380</v>
      </c>
      <c r="G32" t="s">
        <v>3381</v>
      </c>
      <c r="H32" t="s">
        <v>3380</v>
      </c>
      <c r="I32" t="str">
        <f>HYPERLINK("https://zfin.org/ZDB-GENE-040426-1720")</f>
        <v>https://zfin.org/ZDB-GENE-040426-1720</v>
      </c>
      <c r="J32" t="s">
        <v>3379</v>
      </c>
    </row>
    <row r="33" spans="1:10" x14ac:dyDescent="0.2">
      <c r="A33">
        <v>5.7934400325124697E-3</v>
      </c>
      <c r="B33">
        <v>-0.46529926680208</v>
      </c>
      <c r="C33">
        <v>0.28399999999999997</v>
      </c>
      <c r="D33">
        <v>0.44800000000000001</v>
      </c>
      <c r="E33">
        <v>1</v>
      </c>
      <c r="F33" t="s">
        <v>3377</v>
      </c>
      <c r="G33" t="s">
        <v>3378</v>
      </c>
      <c r="H33" t="s">
        <v>3377</v>
      </c>
      <c r="I33" t="str">
        <f>HYPERLINK("https://zfin.org/ZDB-GENE-040426-1883")</f>
        <v>https://zfin.org/ZDB-GENE-040426-1883</v>
      </c>
      <c r="J33" t="s">
        <v>3376</v>
      </c>
    </row>
    <row r="34" spans="1:10" x14ac:dyDescent="0.2">
      <c r="A34">
        <v>5.80895512967402E-3</v>
      </c>
      <c r="B34">
        <v>-0.31621110731583602</v>
      </c>
      <c r="C34">
        <v>0.627</v>
      </c>
      <c r="D34">
        <v>0.754</v>
      </c>
      <c r="E34">
        <v>1</v>
      </c>
      <c r="F34" t="s">
        <v>3374</v>
      </c>
      <c r="G34" t="s">
        <v>3375</v>
      </c>
      <c r="H34" t="s">
        <v>3374</v>
      </c>
      <c r="I34" t="str">
        <f>HYPERLINK("https://zfin.org/ZDB-GENE-040426-860")</f>
        <v>https://zfin.org/ZDB-GENE-040426-860</v>
      </c>
      <c r="J34" t="s">
        <v>3373</v>
      </c>
    </row>
    <row r="35" spans="1:10" x14ac:dyDescent="0.2">
      <c r="A35">
        <v>5.8942274122151797E-3</v>
      </c>
      <c r="B35">
        <v>-0.44166505586467703</v>
      </c>
      <c r="C35">
        <v>0.13400000000000001</v>
      </c>
      <c r="D35">
        <v>0.30199999999999999</v>
      </c>
      <c r="E35">
        <v>1</v>
      </c>
      <c r="F35" t="s">
        <v>3371</v>
      </c>
      <c r="G35" t="s">
        <v>3372</v>
      </c>
      <c r="H35" t="s">
        <v>3371</v>
      </c>
      <c r="I35" t="str">
        <f>HYPERLINK("https://zfin.org/ZDB-GENE-030131-719")</f>
        <v>https://zfin.org/ZDB-GENE-030131-719</v>
      </c>
      <c r="J35" t="s">
        <v>3370</v>
      </c>
    </row>
    <row r="36" spans="1:10" x14ac:dyDescent="0.2">
      <c r="A36">
        <v>5.8981474302781702E-3</v>
      </c>
      <c r="B36">
        <v>-0.39808454012344802</v>
      </c>
      <c r="C36">
        <v>0.16400000000000001</v>
      </c>
      <c r="D36">
        <v>0.32900000000000001</v>
      </c>
      <c r="E36">
        <v>1</v>
      </c>
      <c r="F36" t="s">
        <v>3368</v>
      </c>
      <c r="G36" t="s">
        <v>3369</v>
      </c>
      <c r="H36" t="s">
        <v>3368</v>
      </c>
      <c r="I36" t="str">
        <f>HYPERLINK("https://zfin.org/ZDB-GENE-990714-24")</f>
        <v>https://zfin.org/ZDB-GENE-990714-24</v>
      </c>
      <c r="J36" t="s">
        <v>3367</v>
      </c>
    </row>
    <row r="37" spans="1:10" x14ac:dyDescent="0.2">
      <c r="A37">
        <v>6.2529905250293004E-3</v>
      </c>
      <c r="B37">
        <v>-0.451808096212651</v>
      </c>
      <c r="C37">
        <v>0</v>
      </c>
      <c r="D37">
        <v>0.10299999999999999</v>
      </c>
      <c r="E37">
        <v>1</v>
      </c>
      <c r="F37" t="s">
        <v>2790</v>
      </c>
      <c r="G37" t="s">
        <v>2791</v>
      </c>
      <c r="H37" t="s">
        <v>2790</v>
      </c>
      <c r="I37" t="str">
        <f>HYPERLINK("https://zfin.org/ZDB-GENE-990415-17")</f>
        <v>https://zfin.org/ZDB-GENE-990415-17</v>
      </c>
      <c r="J37" t="s">
        <v>2789</v>
      </c>
    </row>
    <row r="38" spans="1:10" x14ac:dyDescent="0.2">
      <c r="A38">
        <v>7.0038518575324801E-3</v>
      </c>
      <c r="B38">
        <v>-0.368564714888791</v>
      </c>
      <c r="C38">
        <v>4.4999999999999998E-2</v>
      </c>
      <c r="D38">
        <v>0.17899999999999999</v>
      </c>
      <c r="E38">
        <v>1</v>
      </c>
      <c r="F38" t="s">
        <v>3365</v>
      </c>
      <c r="G38" t="s">
        <v>3366</v>
      </c>
      <c r="H38" t="s">
        <v>3365</v>
      </c>
      <c r="I38" t="str">
        <f>HYPERLINK("https://zfin.org/ZDB-GENE-030131-4195")</f>
        <v>https://zfin.org/ZDB-GENE-030131-4195</v>
      </c>
      <c r="J38" t="s">
        <v>3364</v>
      </c>
    </row>
    <row r="39" spans="1:10" x14ac:dyDescent="0.2">
      <c r="A39">
        <v>7.5761689469203003E-3</v>
      </c>
      <c r="B39">
        <v>-0.42373162683448201</v>
      </c>
      <c r="C39">
        <v>0.06</v>
      </c>
      <c r="D39">
        <v>0.19800000000000001</v>
      </c>
      <c r="E39">
        <v>1</v>
      </c>
      <c r="F39" t="s">
        <v>2317</v>
      </c>
      <c r="G39" t="s">
        <v>2318</v>
      </c>
      <c r="H39" t="s">
        <v>2317</v>
      </c>
      <c r="I39" t="str">
        <f>HYPERLINK("https://zfin.org/ZDB-GENE-050417-201")</f>
        <v>https://zfin.org/ZDB-GENE-050417-201</v>
      </c>
      <c r="J39" t="s">
        <v>2316</v>
      </c>
    </row>
    <row r="40" spans="1:10" x14ac:dyDescent="0.2">
      <c r="A40">
        <v>7.6221242078016796E-3</v>
      </c>
      <c r="B40">
        <v>-0.33870299483272598</v>
      </c>
      <c r="C40">
        <v>0.13400000000000001</v>
      </c>
      <c r="D40">
        <v>0.30199999999999999</v>
      </c>
      <c r="E40">
        <v>1</v>
      </c>
      <c r="F40" t="s">
        <v>3362</v>
      </c>
      <c r="G40" t="s">
        <v>3363</v>
      </c>
      <c r="H40" t="s">
        <v>3362</v>
      </c>
      <c r="I40" t="str">
        <f>HYPERLINK("https://zfin.org/ZDB-GENE-030410-3")</f>
        <v>https://zfin.org/ZDB-GENE-030410-3</v>
      </c>
      <c r="J40" t="s">
        <v>3361</v>
      </c>
    </row>
    <row r="41" spans="1:10" x14ac:dyDescent="0.2">
      <c r="A41">
        <v>7.7851878743224398E-3</v>
      </c>
      <c r="B41">
        <v>-0.42106952684787102</v>
      </c>
      <c r="C41">
        <v>0.23899999999999999</v>
      </c>
      <c r="D41">
        <v>0.39700000000000002</v>
      </c>
      <c r="E41">
        <v>1</v>
      </c>
      <c r="F41" t="s">
        <v>3359</v>
      </c>
      <c r="G41" t="s">
        <v>3360</v>
      </c>
      <c r="H41" t="s">
        <v>3359</v>
      </c>
      <c r="I41" t="str">
        <f>HYPERLINK("https://zfin.org/ZDB-GENE-030912-14")</f>
        <v>https://zfin.org/ZDB-GENE-030912-14</v>
      </c>
      <c r="J41" t="s">
        <v>3358</v>
      </c>
    </row>
    <row r="42" spans="1:10" x14ac:dyDescent="0.2">
      <c r="A42">
        <v>8.1412022777991103E-3</v>
      </c>
      <c r="B42">
        <v>-0.33951078258398198</v>
      </c>
      <c r="C42">
        <v>0.03</v>
      </c>
      <c r="D42">
        <v>0.151</v>
      </c>
      <c r="E42">
        <v>1</v>
      </c>
      <c r="F42" t="s">
        <v>3356</v>
      </c>
      <c r="G42" t="s">
        <v>3357</v>
      </c>
      <c r="H42" t="s">
        <v>3356</v>
      </c>
      <c r="I42" t="str">
        <f>HYPERLINK("https://zfin.org/ZDB-GENE-080204-83")</f>
        <v>https://zfin.org/ZDB-GENE-080204-83</v>
      </c>
      <c r="J42" t="s">
        <v>3355</v>
      </c>
    </row>
    <row r="43" spans="1:10" x14ac:dyDescent="0.2">
      <c r="A43">
        <v>9.67309156984833E-3</v>
      </c>
      <c r="B43">
        <v>-0.55027822357845602</v>
      </c>
      <c r="C43">
        <v>0.06</v>
      </c>
      <c r="D43">
        <v>0.183</v>
      </c>
      <c r="E43">
        <v>1</v>
      </c>
      <c r="F43" t="s">
        <v>2497</v>
      </c>
      <c r="G43" t="s">
        <v>2498</v>
      </c>
      <c r="H43" t="s">
        <v>2497</v>
      </c>
      <c r="I43" t="str">
        <f>HYPERLINK("https://zfin.org/ZDB-GENE-020419-4")</f>
        <v>https://zfin.org/ZDB-GENE-020419-4</v>
      </c>
      <c r="J43" t="s">
        <v>2496</v>
      </c>
    </row>
    <row r="44" spans="1:10" x14ac:dyDescent="0.2">
      <c r="A44">
        <v>1.0012397525227101E-2</v>
      </c>
      <c r="B44">
        <v>-0.27765650013802401</v>
      </c>
      <c r="C44">
        <v>0.79100000000000004</v>
      </c>
      <c r="D44">
        <v>0.873</v>
      </c>
      <c r="E44">
        <v>1</v>
      </c>
      <c r="F44" t="s">
        <v>2548</v>
      </c>
      <c r="G44" t="s">
        <v>2549</v>
      </c>
      <c r="H44" t="s">
        <v>2548</v>
      </c>
      <c r="I44" t="str">
        <f>HYPERLINK("https://zfin.org/ZDB-GENE-030131-341")</f>
        <v>https://zfin.org/ZDB-GENE-030131-341</v>
      </c>
      <c r="J44" t="s">
        <v>2547</v>
      </c>
    </row>
    <row r="45" spans="1:10" x14ac:dyDescent="0.2">
      <c r="A45">
        <v>1.00264582187784E-2</v>
      </c>
      <c r="B45">
        <v>-0.374776868895352</v>
      </c>
      <c r="C45">
        <v>0.06</v>
      </c>
      <c r="D45">
        <v>0.19400000000000001</v>
      </c>
      <c r="E45">
        <v>1</v>
      </c>
      <c r="F45" t="s">
        <v>2229</v>
      </c>
      <c r="G45" t="s">
        <v>2230</v>
      </c>
      <c r="H45" t="s">
        <v>2229</v>
      </c>
      <c r="I45" t="str">
        <f>HYPERLINK("https://zfin.org/ZDB-GENE-141212-376")</f>
        <v>https://zfin.org/ZDB-GENE-141212-376</v>
      </c>
      <c r="J45" t="s">
        <v>2228</v>
      </c>
    </row>
    <row r="46" spans="1:10" x14ac:dyDescent="0.2">
      <c r="A46">
        <v>1.06818722804166E-2</v>
      </c>
      <c r="B46">
        <v>-1.1019640572459699</v>
      </c>
      <c r="C46">
        <v>0.92500000000000004</v>
      </c>
      <c r="D46">
        <v>0.91300000000000003</v>
      </c>
      <c r="E46">
        <v>1</v>
      </c>
      <c r="F46" t="s">
        <v>1479</v>
      </c>
      <c r="G46" t="s">
        <v>1480</v>
      </c>
      <c r="H46" t="s">
        <v>1479</v>
      </c>
      <c r="I46" t="str">
        <f>HYPERLINK("https://zfin.org/ZDB-GENE-121214-193")</f>
        <v>https://zfin.org/ZDB-GENE-121214-193</v>
      </c>
      <c r="J46" t="s">
        <v>1478</v>
      </c>
    </row>
    <row r="47" spans="1:10" x14ac:dyDescent="0.2">
      <c r="A47">
        <v>1.08825377763154E-2</v>
      </c>
      <c r="B47">
        <v>-0.32254508201244603</v>
      </c>
      <c r="C47">
        <v>0.38800000000000001</v>
      </c>
      <c r="D47">
        <v>0.53600000000000003</v>
      </c>
      <c r="E47">
        <v>1</v>
      </c>
      <c r="F47" t="s">
        <v>3353</v>
      </c>
      <c r="G47" t="s">
        <v>3354</v>
      </c>
      <c r="H47" t="s">
        <v>3353</v>
      </c>
      <c r="I47" t="str">
        <f>HYPERLINK("https://zfin.org/ZDB-GENE-040426-1938")</f>
        <v>https://zfin.org/ZDB-GENE-040426-1938</v>
      </c>
      <c r="J47" t="s">
        <v>3352</v>
      </c>
    </row>
    <row r="48" spans="1:10" x14ac:dyDescent="0.2">
      <c r="A48">
        <v>1.1677893437851E-2</v>
      </c>
      <c r="B48">
        <v>-0.26262871353872802</v>
      </c>
      <c r="C48">
        <v>0.28399999999999997</v>
      </c>
      <c r="D48">
        <v>0.44400000000000001</v>
      </c>
      <c r="E48">
        <v>1</v>
      </c>
      <c r="F48" t="s">
        <v>3350</v>
      </c>
      <c r="G48" t="s">
        <v>3351</v>
      </c>
      <c r="H48" t="s">
        <v>3350</v>
      </c>
      <c r="I48" t="str">
        <f>HYPERLINK("https://zfin.org/ZDB-GENE-060825-91")</f>
        <v>https://zfin.org/ZDB-GENE-060825-91</v>
      </c>
      <c r="J48" t="s">
        <v>3349</v>
      </c>
    </row>
    <row r="49" spans="1:10" x14ac:dyDescent="0.2">
      <c r="A49">
        <v>1.20045343354505E-2</v>
      </c>
      <c r="B49">
        <v>-0.27048492326410201</v>
      </c>
      <c r="C49">
        <v>0.73099999999999998</v>
      </c>
      <c r="D49">
        <v>0.877</v>
      </c>
      <c r="E49">
        <v>1</v>
      </c>
      <c r="F49" t="s">
        <v>1948</v>
      </c>
      <c r="G49" t="s">
        <v>1949</v>
      </c>
      <c r="H49" t="s">
        <v>1948</v>
      </c>
      <c r="I49" t="str">
        <f>HYPERLINK("https://zfin.org/ZDB-GENE-050417-329")</f>
        <v>https://zfin.org/ZDB-GENE-050417-329</v>
      </c>
      <c r="J49" t="s">
        <v>1947</v>
      </c>
    </row>
    <row r="50" spans="1:10" x14ac:dyDescent="0.2">
      <c r="A50">
        <v>1.24933765044063E-2</v>
      </c>
      <c r="B50">
        <v>-0.354483437724809</v>
      </c>
      <c r="C50">
        <v>0.82099999999999995</v>
      </c>
      <c r="D50">
        <v>0.81</v>
      </c>
      <c r="E50">
        <v>1</v>
      </c>
      <c r="F50" t="s">
        <v>1379</v>
      </c>
      <c r="G50" t="s">
        <v>1380</v>
      </c>
      <c r="H50" t="s">
        <v>1379</v>
      </c>
      <c r="I50" t="str">
        <f>HYPERLINK("https://zfin.org/ZDB-GENE-030131-8625")</f>
        <v>https://zfin.org/ZDB-GENE-030131-8625</v>
      </c>
      <c r="J50" t="s">
        <v>1378</v>
      </c>
    </row>
    <row r="51" spans="1:10" x14ac:dyDescent="0.2">
      <c r="A51">
        <v>1.33052175538043E-2</v>
      </c>
      <c r="B51">
        <v>-0.46915826481349698</v>
      </c>
      <c r="C51">
        <v>0.16400000000000001</v>
      </c>
      <c r="D51">
        <v>0.32100000000000001</v>
      </c>
      <c r="E51">
        <v>1</v>
      </c>
      <c r="F51" t="s">
        <v>1841</v>
      </c>
      <c r="G51" t="s">
        <v>1842</v>
      </c>
      <c r="H51" t="s">
        <v>1841</v>
      </c>
      <c r="I51" t="str">
        <f>HYPERLINK("https://zfin.org/ZDB-GENE-061207-7")</f>
        <v>https://zfin.org/ZDB-GENE-061207-7</v>
      </c>
      <c r="J51" t="s">
        <v>1840</v>
      </c>
    </row>
    <row r="52" spans="1:10" x14ac:dyDescent="0.2">
      <c r="A52">
        <v>1.3512703785221101E-2</v>
      </c>
      <c r="B52">
        <v>-0.43335098985526299</v>
      </c>
      <c r="C52">
        <v>4.4999999999999998E-2</v>
      </c>
      <c r="D52">
        <v>0.16300000000000001</v>
      </c>
      <c r="E52">
        <v>1</v>
      </c>
      <c r="F52" t="s">
        <v>2196</v>
      </c>
      <c r="G52" t="s">
        <v>2197</v>
      </c>
      <c r="H52" t="s">
        <v>2196</v>
      </c>
      <c r="I52" t="str">
        <f>HYPERLINK("https://zfin.org/ZDB-GENE-020419-27")</f>
        <v>https://zfin.org/ZDB-GENE-020419-27</v>
      </c>
      <c r="J52" t="s">
        <v>2195</v>
      </c>
    </row>
    <row r="53" spans="1:10" x14ac:dyDescent="0.2">
      <c r="A53">
        <v>1.3597916263579399E-2</v>
      </c>
      <c r="B53">
        <v>-0.28126410341199098</v>
      </c>
      <c r="C53">
        <v>1.4999999999999999E-2</v>
      </c>
      <c r="D53">
        <v>0.115</v>
      </c>
      <c r="E53">
        <v>1</v>
      </c>
      <c r="F53" t="s">
        <v>2214</v>
      </c>
      <c r="G53" t="s">
        <v>2215</v>
      </c>
      <c r="H53" t="s">
        <v>2214</v>
      </c>
      <c r="I53" t="str">
        <f>HYPERLINK("https://zfin.org/ZDB-GENE-030131-5366")</f>
        <v>https://zfin.org/ZDB-GENE-030131-5366</v>
      </c>
      <c r="J53" t="s">
        <v>2213</v>
      </c>
    </row>
    <row r="54" spans="1:10" x14ac:dyDescent="0.2">
      <c r="A54">
        <v>1.36494848590424E-2</v>
      </c>
      <c r="B54">
        <v>-0.37261963909349899</v>
      </c>
      <c r="C54">
        <v>0.59699999999999998</v>
      </c>
      <c r="D54">
        <v>0.69399999999999995</v>
      </c>
      <c r="E54">
        <v>1</v>
      </c>
      <c r="F54" t="s">
        <v>3072</v>
      </c>
      <c r="G54" t="s">
        <v>3073</v>
      </c>
      <c r="H54" t="s">
        <v>3072</v>
      </c>
      <c r="I54" t="str">
        <f>HYPERLINK("https://zfin.org/ZDB-GENE-061027-176")</f>
        <v>https://zfin.org/ZDB-GENE-061027-176</v>
      </c>
      <c r="J54" t="s">
        <v>3071</v>
      </c>
    </row>
    <row r="55" spans="1:10" x14ac:dyDescent="0.2">
      <c r="A55">
        <v>1.3939584961426299E-2</v>
      </c>
      <c r="B55">
        <v>-0.464191214838169</v>
      </c>
      <c r="C55">
        <v>0.224</v>
      </c>
      <c r="D55">
        <v>0.35699999999999998</v>
      </c>
      <c r="E55">
        <v>1</v>
      </c>
      <c r="F55" t="s">
        <v>2187</v>
      </c>
      <c r="G55" t="s">
        <v>2188</v>
      </c>
      <c r="H55" t="s">
        <v>2187</v>
      </c>
      <c r="I55" t="str">
        <f>HYPERLINK("https://zfin.org/ZDB-GENE-060503-618")</f>
        <v>https://zfin.org/ZDB-GENE-060503-618</v>
      </c>
      <c r="J55" t="s">
        <v>2186</v>
      </c>
    </row>
    <row r="56" spans="1:10" x14ac:dyDescent="0.2">
      <c r="A56">
        <v>1.55603294217205E-2</v>
      </c>
      <c r="B56">
        <v>-0.56392644372890999</v>
      </c>
      <c r="C56">
        <v>0.11899999999999999</v>
      </c>
      <c r="D56">
        <v>0.24199999999999999</v>
      </c>
      <c r="E56">
        <v>1</v>
      </c>
      <c r="F56" t="s">
        <v>1346</v>
      </c>
      <c r="G56" t="s">
        <v>1347</v>
      </c>
      <c r="H56" t="s">
        <v>1346</v>
      </c>
      <c r="I56" t="str">
        <f>HYPERLINK("https://zfin.org/ZDB-GENE-980526-29")</f>
        <v>https://zfin.org/ZDB-GENE-980526-29</v>
      </c>
      <c r="J56" t="s">
        <v>1345</v>
      </c>
    </row>
    <row r="57" spans="1:10" x14ac:dyDescent="0.2">
      <c r="A57">
        <v>1.6171603526591499E-2</v>
      </c>
      <c r="B57">
        <v>-0.26235157446345198</v>
      </c>
      <c r="C57">
        <v>0.79100000000000004</v>
      </c>
      <c r="D57">
        <v>0.877</v>
      </c>
      <c r="E57">
        <v>1</v>
      </c>
      <c r="F57" t="s">
        <v>118</v>
      </c>
      <c r="G57" t="s">
        <v>119</v>
      </c>
      <c r="H57" t="s">
        <v>118</v>
      </c>
      <c r="I57" t="str">
        <f>HYPERLINK("https://zfin.org/ZDB-GENE-030410-1")</f>
        <v>https://zfin.org/ZDB-GENE-030410-1</v>
      </c>
      <c r="J57" t="s">
        <v>120</v>
      </c>
    </row>
    <row r="58" spans="1:10" x14ac:dyDescent="0.2">
      <c r="A58">
        <v>1.6171955635148401E-2</v>
      </c>
      <c r="B58">
        <v>-0.328843347422968</v>
      </c>
      <c r="C58">
        <v>0.11899999999999999</v>
      </c>
      <c r="D58">
        <v>0.26200000000000001</v>
      </c>
      <c r="E58">
        <v>1</v>
      </c>
      <c r="F58" t="s">
        <v>3347</v>
      </c>
      <c r="G58" t="s">
        <v>3348</v>
      </c>
      <c r="H58" t="s">
        <v>3347</v>
      </c>
      <c r="I58" t="str">
        <f>HYPERLINK("https://zfin.org/ZDB-GENE-050522-309")</f>
        <v>https://zfin.org/ZDB-GENE-050522-309</v>
      </c>
      <c r="J58" t="s">
        <v>3346</v>
      </c>
    </row>
    <row r="59" spans="1:10" x14ac:dyDescent="0.2">
      <c r="A59">
        <v>1.6244501297414001E-2</v>
      </c>
      <c r="B59">
        <v>-0.29355182731847901</v>
      </c>
      <c r="C59">
        <v>1.4999999999999999E-2</v>
      </c>
      <c r="D59">
        <v>0.107</v>
      </c>
      <c r="E59">
        <v>1</v>
      </c>
      <c r="F59" t="s">
        <v>3344</v>
      </c>
      <c r="G59" t="s">
        <v>3345</v>
      </c>
      <c r="H59" t="s">
        <v>3344</v>
      </c>
      <c r="I59" t="str">
        <f>HYPERLINK("https://zfin.org/ZDB-GENE-040426-2787")</f>
        <v>https://zfin.org/ZDB-GENE-040426-2787</v>
      </c>
      <c r="J59" t="s">
        <v>3343</v>
      </c>
    </row>
    <row r="60" spans="1:10" x14ac:dyDescent="0.2">
      <c r="A60">
        <v>1.67109443357677E-2</v>
      </c>
      <c r="B60">
        <v>-0.33221380660519501</v>
      </c>
      <c r="C60">
        <v>4.4999999999999998E-2</v>
      </c>
      <c r="D60">
        <v>0.155</v>
      </c>
      <c r="E60">
        <v>1</v>
      </c>
      <c r="F60" t="s">
        <v>3341</v>
      </c>
      <c r="G60" t="s">
        <v>3342</v>
      </c>
      <c r="H60" t="s">
        <v>3341</v>
      </c>
      <c r="I60" t="str">
        <f>HYPERLINK("https://zfin.org/ZDB-GENE-021231-4")</f>
        <v>https://zfin.org/ZDB-GENE-021231-4</v>
      </c>
      <c r="J60" t="s">
        <v>3340</v>
      </c>
    </row>
    <row r="61" spans="1:10" x14ac:dyDescent="0.2">
      <c r="A61">
        <v>1.7129556106525501E-2</v>
      </c>
      <c r="B61">
        <v>-0.36589215993637603</v>
      </c>
      <c r="C61">
        <v>0.35799999999999998</v>
      </c>
      <c r="D61">
        <v>0.48399999999999999</v>
      </c>
      <c r="E61">
        <v>1</v>
      </c>
      <c r="F61" t="s">
        <v>3338</v>
      </c>
      <c r="G61" t="s">
        <v>3339</v>
      </c>
      <c r="H61" t="s">
        <v>3338</v>
      </c>
      <c r="I61" t="str">
        <f>HYPERLINK("https://zfin.org/ZDB-GENE-020419-14")</f>
        <v>https://zfin.org/ZDB-GENE-020419-14</v>
      </c>
      <c r="J61" t="s">
        <v>3337</v>
      </c>
    </row>
    <row r="62" spans="1:10" x14ac:dyDescent="0.2">
      <c r="A62">
        <v>1.7804161279433701E-2</v>
      </c>
      <c r="B62">
        <v>-0.37002492030085699</v>
      </c>
      <c r="C62">
        <v>0.13400000000000001</v>
      </c>
      <c r="D62">
        <v>0.27</v>
      </c>
      <c r="E62">
        <v>1</v>
      </c>
      <c r="F62" t="s">
        <v>3335</v>
      </c>
      <c r="G62" t="s">
        <v>3336</v>
      </c>
      <c r="H62" t="s">
        <v>3335</v>
      </c>
      <c r="I62" t="str">
        <f>HYPERLINK("https://zfin.org/ZDB-GENE-060825-115")</f>
        <v>https://zfin.org/ZDB-GENE-060825-115</v>
      </c>
      <c r="J62" t="s">
        <v>3334</v>
      </c>
    </row>
    <row r="63" spans="1:10" x14ac:dyDescent="0.2">
      <c r="A63">
        <v>1.8569544014122599E-2</v>
      </c>
      <c r="B63">
        <v>-0.33854671576940898</v>
      </c>
      <c r="C63">
        <v>0.03</v>
      </c>
      <c r="D63">
        <v>0.13100000000000001</v>
      </c>
      <c r="E63">
        <v>1</v>
      </c>
      <c r="F63" t="s">
        <v>2100</v>
      </c>
      <c r="G63" t="s">
        <v>2101</v>
      </c>
      <c r="H63" t="s">
        <v>2100</v>
      </c>
      <c r="I63" t="str">
        <f>HYPERLINK("https://zfin.org/ZDB-GENE-040824-3")</f>
        <v>https://zfin.org/ZDB-GENE-040824-3</v>
      </c>
      <c r="J63" t="s">
        <v>2099</v>
      </c>
    </row>
    <row r="64" spans="1:10" x14ac:dyDescent="0.2">
      <c r="A64">
        <v>1.9178367165340299E-2</v>
      </c>
      <c r="B64">
        <v>-0.31608223953695502</v>
      </c>
      <c r="C64">
        <v>0.06</v>
      </c>
      <c r="D64">
        <v>0.17899999999999999</v>
      </c>
      <c r="E64">
        <v>1</v>
      </c>
      <c r="F64" t="s">
        <v>3332</v>
      </c>
      <c r="G64" t="s">
        <v>3333</v>
      </c>
      <c r="H64" t="s">
        <v>3332</v>
      </c>
      <c r="I64" t="str">
        <f>HYPERLINK("https://zfin.org/ZDB-GENE-041111-222")</f>
        <v>https://zfin.org/ZDB-GENE-041111-222</v>
      </c>
      <c r="J64" t="s">
        <v>3331</v>
      </c>
    </row>
    <row r="65" spans="1:10" x14ac:dyDescent="0.2">
      <c r="A65">
        <v>1.9296959394690501E-2</v>
      </c>
      <c r="B65">
        <v>-0.34558744532691998</v>
      </c>
      <c r="C65">
        <v>4.4999999999999998E-2</v>
      </c>
      <c r="D65">
        <v>0.155</v>
      </c>
      <c r="E65">
        <v>1</v>
      </c>
      <c r="F65" t="s">
        <v>3329</v>
      </c>
      <c r="G65" t="s">
        <v>3330</v>
      </c>
      <c r="H65" t="s">
        <v>3329</v>
      </c>
      <c r="I65" t="str">
        <f>HYPERLINK("https://zfin.org/ZDB-GENE-050913-49")</f>
        <v>https://zfin.org/ZDB-GENE-050913-49</v>
      </c>
      <c r="J65" t="s">
        <v>3328</v>
      </c>
    </row>
    <row r="66" spans="1:10" x14ac:dyDescent="0.2">
      <c r="A66">
        <v>1.95117762405401E-2</v>
      </c>
      <c r="B66">
        <v>-0.320599551496482</v>
      </c>
      <c r="C66">
        <v>0.13400000000000001</v>
      </c>
      <c r="D66">
        <v>0.27800000000000002</v>
      </c>
      <c r="E66">
        <v>1</v>
      </c>
      <c r="F66" t="s">
        <v>3326</v>
      </c>
      <c r="G66" t="s">
        <v>3327</v>
      </c>
      <c r="H66" t="s">
        <v>3326</v>
      </c>
      <c r="I66" t="str">
        <f>HYPERLINK("https://zfin.org/ZDB-GENE-030131-533")</f>
        <v>https://zfin.org/ZDB-GENE-030131-533</v>
      </c>
      <c r="J66" t="s">
        <v>3325</v>
      </c>
    </row>
    <row r="67" spans="1:10" x14ac:dyDescent="0.2">
      <c r="A67">
        <v>2.0443581248155901E-2</v>
      </c>
      <c r="B67">
        <v>-0.31536018581020397</v>
      </c>
      <c r="C67">
        <v>4.4999999999999998E-2</v>
      </c>
      <c r="D67">
        <v>0.151</v>
      </c>
      <c r="E67">
        <v>1</v>
      </c>
      <c r="F67" t="s">
        <v>3323</v>
      </c>
      <c r="G67" t="s">
        <v>3324</v>
      </c>
      <c r="H67" t="s">
        <v>3323</v>
      </c>
      <c r="I67" t="str">
        <f>HYPERLINK("https://zfin.org/ZDB-GENE-050809-3")</f>
        <v>https://zfin.org/ZDB-GENE-050809-3</v>
      </c>
      <c r="J67" t="s">
        <v>3322</v>
      </c>
    </row>
    <row r="68" spans="1:10" x14ac:dyDescent="0.2">
      <c r="A68">
        <v>2.1555601993210299E-2</v>
      </c>
      <c r="B68">
        <v>-0.29670223063068502</v>
      </c>
      <c r="C68">
        <v>0.53700000000000003</v>
      </c>
      <c r="D68">
        <v>0.65500000000000003</v>
      </c>
      <c r="E68">
        <v>1</v>
      </c>
      <c r="F68" t="s">
        <v>1367</v>
      </c>
      <c r="G68" t="s">
        <v>1368</v>
      </c>
      <c r="H68" t="s">
        <v>1367</v>
      </c>
      <c r="I68" t="str">
        <f>HYPERLINK("https://zfin.org/ZDB-GENE-030131-8567")</f>
        <v>https://zfin.org/ZDB-GENE-030131-8567</v>
      </c>
      <c r="J68" t="s">
        <v>1366</v>
      </c>
    </row>
    <row r="69" spans="1:10" x14ac:dyDescent="0.2">
      <c r="A69">
        <v>2.25398523534668E-2</v>
      </c>
      <c r="B69">
        <v>-0.39826126503098302</v>
      </c>
      <c r="C69">
        <v>0.03</v>
      </c>
      <c r="D69">
        <v>0.123</v>
      </c>
      <c r="E69">
        <v>1</v>
      </c>
      <c r="F69" t="s">
        <v>2118</v>
      </c>
      <c r="G69" t="s">
        <v>2119</v>
      </c>
      <c r="H69" t="s">
        <v>2118</v>
      </c>
      <c r="I69" t="str">
        <f>HYPERLINK("https://zfin.org/ZDB-GENE-110404-2")</f>
        <v>https://zfin.org/ZDB-GENE-110404-2</v>
      </c>
      <c r="J69" t="s">
        <v>2117</v>
      </c>
    </row>
    <row r="70" spans="1:10" x14ac:dyDescent="0.2">
      <c r="A70">
        <v>2.2597511219196099E-2</v>
      </c>
      <c r="B70">
        <v>-0.38408219081497802</v>
      </c>
      <c r="C70">
        <v>0.224</v>
      </c>
      <c r="D70">
        <v>0.36499999999999999</v>
      </c>
      <c r="E70">
        <v>1</v>
      </c>
      <c r="F70" t="s">
        <v>3320</v>
      </c>
      <c r="G70" t="s">
        <v>3321</v>
      </c>
      <c r="H70" t="s">
        <v>3320</v>
      </c>
      <c r="I70" t="str">
        <f>HYPERLINK("https://zfin.org/ZDB-GENE-040426-915")</f>
        <v>https://zfin.org/ZDB-GENE-040426-915</v>
      </c>
      <c r="J70" t="s">
        <v>3319</v>
      </c>
    </row>
    <row r="71" spans="1:10" x14ac:dyDescent="0.2">
      <c r="A71">
        <v>2.2612901738855599E-2</v>
      </c>
      <c r="B71">
        <v>-0.30583428815541702</v>
      </c>
      <c r="C71">
        <v>1.4999999999999999E-2</v>
      </c>
      <c r="D71">
        <v>0.10299999999999999</v>
      </c>
      <c r="E71">
        <v>1</v>
      </c>
      <c r="F71" t="s">
        <v>3317</v>
      </c>
      <c r="G71" t="s">
        <v>3318</v>
      </c>
      <c r="H71" t="s">
        <v>3317</v>
      </c>
      <c r="I71" t="str">
        <f>HYPERLINK("https://zfin.org/ZDB-GENE-050417-29")</f>
        <v>https://zfin.org/ZDB-GENE-050417-29</v>
      </c>
      <c r="J71" t="s">
        <v>3316</v>
      </c>
    </row>
    <row r="72" spans="1:10" x14ac:dyDescent="0.2">
      <c r="A72">
        <v>2.3316222016191601E-2</v>
      </c>
      <c r="B72">
        <v>-0.41340656110460999</v>
      </c>
      <c r="C72">
        <v>0.313</v>
      </c>
      <c r="D72">
        <v>0.44800000000000001</v>
      </c>
      <c r="E72">
        <v>1</v>
      </c>
      <c r="F72" t="s">
        <v>3314</v>
      </c>
      <c r="G72" t="s">
        <v>3315</v>
      </c>
      <c r="H72" t="s">
        <v>3314</v>
      </c>
      <c r="I72" t="str">
        <f>HYPERLINK("https://zfin.org/ZDB-GENE-030131-9796")</f>
        <v>https://zfin.org/ZDB-GENE-030131-9796</v>
      </c>
      <c r="J72" t="s">
        <v>3313</v>
      </c>
    </row>
    <row r="73" spans="1:10" x14ac:dyDescent="0.2">
      <c r="A73">
        <v>2.4734204994055001E-2</v>
      </c>
      <c r="B73">
        <v>-0.31480484063608799</v>
      </c>
      <c r="C73">
        <v>0.06</v>
      </c>
      <c r="D73">
        <v>0.16700000000000001</v>
      </c>
      <c r="E73">
        <v>1</v>
      </c>
      <c r="F73" t="s">
        <v>3311</v>
      </c>
      <c r="G73" t="s">
        <v>3312</v>
      </c>
      <c r="H73" t="s">
        <v>3311</v>
      </c>
      <c r="I73" t="str">
        <f>HYPERLINK("https://zfin.org/ZDB-GENE-041010-211")</f>
        <v>https://zfin.org/ZDB-GENE-041010-211</v>
      </c>
      <c r="J73" t="s">
        <v>3310</v>
      </c>
    </row>
    <row r="74" spans="1:10" x14ac:dyDescent="0.2">
      <c r="A74">
        <v>2.6056752197677301E-2</v>
      </c>
      <c r="B74">
        <v>-0.323540742578934</v>
      </c>
      <c r="C74">
        <v>0.49299999999999999</v>
      </c>
      <c r="D74">
        <v>0.58699999999999997</v>
      </c>
      <c r="E74">
        <v>1</v>
      </c>
      <c r="F74" t="s">
        <v>1445</v>
      </c>
      <c r="G74" t="s">
        <v>1446</v>
      </c>
      <c r="H74" t="s">
        <v>1445</v>
      </c>
      <c r="I74" t="str">
        <f>HYPERLINK("https://zfin.org/ZDB-GENE-041210-191")</f>
        <v>https://zfin.org/ZDB-GENE-041210-191</v>
      </c>
      <c r="J74" t="s">
        <v>1444</v>
      </c>
    </row>
    <row r="75" spans="1:10" x14ac:dyDescent="0.2">
      <c r="A75">
        <v>2.6097953884781401E-2</v>
      </c>
      <c r="B75">
        <v>-0.554155831785072</v>
      </c>
      <c r="C75">
        <v>0.03</v>
      </c>
      <c r="D75">
        <v>0.123</v>
      </c>
      <c r="E75">
        <v>1</v>
      </c>
      <c r="F75" t="s">
        <v>2770</v>
      </c>
      <c r="G75" t="s">
        <v>2771</v>
      </c>
      <c r="H75" t="s">
        <v>2770</v>
      </c>
      <c r="I75" t="str">
        <f>HYPERLINK("https://zfin.org/ZDB-GENE-980526-521")</f>
        <v>https://zfin.org/ZDB-GENE-980526-521</v>
      </c>
      <c r="J75" t="s">
        <v>2769</v>
      </c>
    </row>
    <row r="76" spans="1:10" x14ac:dyDescent="0.2">
      <c r="A76">
        <v>2.6177145704274901E-2</v>
      </c>
      <c r="B76">
        <v>-0.306814407223718</v>
      </c>
      <c r="C76">
        <v>0.06</v>
      </c>
      <c r="D76">
        <v>0.16700000000000001</v>
      </c>
      <c r="E76">
        <v>1</v>
      </c>
      <c r="F76" t="s">
        <v>3308</v>
      </c>
      <c r="G76" t="s">
        <v>3309</v>
      </c>
      <c r="H76" t="s">
        <v>3308</v>
      </c>
      <c r="I76" t="str">
        <f>HYPERLINK("https://zfin.org/ZDB-GENE-030131-2711")</f>
        <v>https://zfin.org/ZDB-GENE-030131-2711</v>
      </c>
      <c r="J76" t="s">
        <v>3307</v>
      </c>
    </row>
    <row r="77" spans="1:10" x14ac:dyDescent="0.2">
      <c r="A77">
        <v>2.70167218346462E-2</v>
      </c>
      <c r="B77">
        <v>-0.28524152955857801</v>
      </c>
      <c r="C77">
        <v>0.03</v>
      </c>
      <c r="D77">
        <v>0.11899999999999999</v>
      </c>
      <c r="E77">
        <v>1</v>
      </c>
      <c r="F77" t="s">
        <v>1755</v>
      </c>
      <c r="G77" t="s">
        <v>1756</v>
      </c>
      <c r="H77" t="s">
        <v>1755</v>
      </c>
      <c r="I77" t="str">
        <f>HYPERLINK("https://zfin.org/ZDB-GENE-040625-133")</f>
        <v>https://zfin.org/ZDB-GENE-040625-133</v>
      </c>
      <c r="J77" t="s">
        <v>1754</v>
      </c>
    </row>
    <row r="78" spans="1:10" x14ac:dyDescent="0.2">
      <c r="A78">
        <v>2.8205070090345501E-2</v>
      </c>
      <c r="B78">
        <v>-0.34064511882350001</v>
      </c>
      <c r="C78">
        <v>0.104</v>
      </c>
      <c r="D78">
        <v>0.214</v>
      </c>
      <c r="E78">
        <v>1</v>
      </c>
      <c r="F78" t="s">
        <v>3305</v>
      </c>
      <c r="G78" t="s">
        <v>3306</v>
      </c>
      <c r="H78" t="s">
        <v>3305</v>
      </c>
      <c r="I78" t="str">
        <f>HYPERLINK("https://zfin.org/ZDB-GENE-030131-650")</f>
        <v>https://zfin.org/ZDB-GENE-030131-650</v>
      </c>
      <c r="J78" t="s">
        <v>3304</v>
      </c>
    </row>
    <row r="79" spans="1:10" x14ac:dyDescent="0.2">
      <c r="A79">
        <v>2.94827603583208E-2</v>
      </c>
      <c r="B79">
        <v>-0.28703808998861802</v>
      </c>
      <c r="C79">
        <v>0.03</v>
      </c>
      <c r="D79">
        <v>0.11899999999999999</v>
      </c>
      <c r="E79">
        <v>1</v>
      </c>
      <c r="F79" t="s">
        <v>3302</v>
      </c>
      <c r="G79" t="s">
        <v>3303</v>
      </c>
      <c r="H79" t="s">
        <v>3302</v>
      </c>
      <c r="I79" t="str">
        <f>HYPERLINK("https://zfin.org/ZDB-GENE-131127-581")</f>
        <v>https://zfin.org/ZDB-GENE-131127-581</v>
      </c>
      <c r="J79" t="s">
        <v>3301</v>
      </c>
    </row>
    <row r="80" spans="1:10" x14ac:dyDescent="0.2">
      <c r="A80">
        <v>2.95374636122001E-2</v>
      </c>
      <c r="B80">
        <v>-0.37797487980611799</v>
      </c>
      <c r="C80">
        <v>4.4999999999999998E-2</v>
      </c>
      <c r="D80">
        <v>0.13900000000000001</v>
      </c>
      <c r="E80">
        <v>1</v>
      </c>
      <c r="F80" t="s">
        <v>3299</v>
      </c>
      <c r="G80" t="s">
        <v>3300</v>
      </c>
      <c r="H80" t="s">
        <v>3299</v>
      </c>
      <c r="I80" t="str">
        <f>HYPERLINK("https://zfin.org/ZDB-GENE-030131-260")</f>
        <v>https://zfin.org/ZDB-GENE-030131-260</v>
      </c>
      <c r="J80" t="s">
        <v>3298</v>
      </c>
    </row>
    <row r="81" spans="1:10" x14ac:dyDescent="0.2">
      <c r="A81">
        <v>2.9945534397961899E-2</v>
      </c>
      <c r="B81">
        <v>-0.32597865314568703</v>
      </c>
      <c r="C81">
        <v>0.104</v>
      </c>
      <c r="D81">
        <v>0.222</v>
      </c>
      <c r="E81">
        <v>1</v>
      </c>
      <c r="F81" t="s">
        <v>3296</v>
      </c>
      <c r="G81" t="s">
        <v>3297</v>
      </c>
      <c r="H81" t="s">
        <v>3296</v>
      </c>
      <c r="I81" t="str">
        <f>HYPERLINK("https://zfin.org/ZDB-GENE-040718-144")</f>
        <v>https://zfin.org/ZDB-GENE-040718-144</v>
      </c>
      <c r="J81" t="s">
        <v>3295</v>
      </c>
    </row>
    <row r="82" spans="1:10" x14ac:dyDescent="0.2">
      <c r="A82">
        <v>3.0281527523511501E-2</v>
      </c>
      <c r="B82">
        <v>-0.347740166703146</v>
      </c>
      <c r="C82">
        <v>0.19400000000000001</v>
      </c>
      <c r="D82">
        <v>0.32900000000000001</v>
      </c>
      <c r="E82">
        <v>1</v>
      </c>
      <c r="F82" t="s">
        <v>3293</v>
      </c>
      <c r="G82" t="s">
        <v>3294</v>
      </c>
      <c r="H82" t="s">
        <v>3293</v>
      </c>
      <c r="I82" t="str">
        <f>HYPERLINK("https://zfin.org/ZDB-GENE-040426-1631")</f>
        <v>https://zfin.org/ZDB-GENE-040426-1631</v>
      </c>
      <c r="J82" t="s">
        <v>3292</v>
      </c>
    </row>
    <row r="83" spans="1:10" x14ac:dyDescent="0.2">
      <c r="A83">
        <v>3.0777257150181699E-2</v>
      </c>
      <c r="B83">
        <v>-0.25001441627932802</v>
      </c>
      <c r="C83">
        <v>7.4999999999999997E-2</v>
      </c>
      <c r="D83">
        <v>0.19</v>
      </c>
      <c r="E83">
        <v>1</v>
      </c>
      <c r="F83" t="s">
        <v>3290</v>
      </c>
      <c r="G83" t="s">
        <v>3291</v>
      </c>
      <c r="H83" t="s">
        <v>3290</v>
      </c>
      <c r="I83" t="str">
        <f>HYPERLINK("https://zfin.org/ZDB-GENE-030131-6837")</f>
        <v>https://zfin.org/ZDB-GENE-030131-6837</v>
      </c>
      <c r="J83" t="s">
        <v>3289</v>
      </c>
    </row>
    <row r="84" spans="1:10" x14ac:dyDescent="0.2">
      <c r="A84">
        <v>3.1366117721972502E-2</v>
      </c>
      <c r="B84">
        <v>-0.32632188017702302</v>
      </c>
      <c r="C84">
        <v>4.4999999999999998E-2</v>
      </c>
      <c r="D84">
        <v>0.13900000000000001</v>
      </c>
      <c r="E84">
        <v>1</v>
      </c>
      <c r="F84" t="s">
        <v>3287</v>
      </c>
      <c r="G84" t="s">
        <v>3288</v>
      </c>
      <c r="H84" t="s">
        <v>3287</v>
      </c>
      <c r="I84" t="str">
        <f>HYPERLINK("https://zfin.org/ZDB-GENE-060825-154")</f>
        <v>https://zfin.org/ZDB-GENE-060825-154</v>
      </c>
      <c r="J84" t="s">
        <v>3286</v>
      </c>
    </row>
    <row r="85" spans="1:10" x14ac:dyDescent="0.2">
      <c r="A85">
        <v>3.2370423442131202E-2</v>
      </c>
      <c r="B85">
        <v>-0.25488991315033399</v>
      </c>
      <c r="C85">
        <v>0.03</v>
      </c>
      <c r="D85">
        <v>0.11899999999999999</v>
      </c>
      <c r="E85">
        <v>1</v>
      </c>
      <c r="F85" t="s">
        <v>3284</v>
      </c>
      <c r="G85" t="s">
        <v>3285</v>
      </c>
      <c r="H85" t="s">
        <v>3284</v>
      </c>
      <c r="I85" t="str">
        <f>HYPERLINK("https://zfin.org/ZDB-GENE-050419-52")</f>
        <v>https://zfin.org/ZDB-GENE-050419-52</v>
      </c>
      <c r="J85" t="s">
        <v>3283</v>
      </c>
    </row>
    <row r="86" spans="1:10" x14ac:dyDescent="0.2">
      <c r="A86">
        <v>3.3165485997195703E-2</v>
      </c>
      <c r="B86">
        <v>-0.34987636498853902</v>
      </c>
      <c r="C86">
        <v>0.46300000000000002</v>
      </c>
      <c r="D86">
        <v>0.55200000000000005</v>
      </c>
      <c r="E86">
        <v>1</v>
      </c>
      <c r="F86" t="s">
        <v>234</v>
      </c>
      <c r="G86" t="s">
        <v>235</v>
      </c>
      <c r="H86" t="s">
        <v>234</v>
      </c>
      <c r="I86" t="str">
        <f>HYPERLINK("https://zfin.org/ZDB-GENE-040426-1362")</f>
        <v>https://zfin.org/ZDB-GENE-040426-1362</v>
      </c>
      <c r="J86" t="s">
        <v>236</v>
      </c>
    </row>
    <row r="87" spans="1:10" x14ac:dyDescent="0.2">
      <c r="A87">
        <v>3.3464654911777997E-2</v>
      </c>
      <c r="B87">
        <v>-0.38838653179155003</v>
      </c>
      <c r="C87">
        <v>0.11899999999999999</v>
      </c>
      <c r="D87">
        <v>0.23400000000000001</v>
      </c>
      <c r="E87">
        <v>1</v>
      </c>
      <c r="F87" t="s">
        <v>1461</v>
      </c>
      <c r="G87" t="s">
        <v>1462</v>
      </c>
      <c r="H87" t="s">
        <v>1461</v>
      </c>
      <c r="I87" t="str">
        <f>HYPERLINK("https://zfin.org/ZDB-GENE-980605-16")</f>
        <v>https://zfin.org/ZDB-GENE-980605-16</v>
      </c>
      <c r="J87" t="s">
        <v>1460</v>
      </c>
    </row>
    <row r="88" spans="1:10" x14ac:dyDescent="0.2">
      <c r="A88">
        <v>3.4055062597744302E-2</v>
      </c>
      <c r="B88">
        <v>-0.30322756391905897</v>
      </c>
      <c r="C88">
        <v>0.06</v>
      </c>
      <c r="D88">
        <v>0.159</v>
      </c>
      <c r="E88">
        <v>1</v>
      </c>
      <c r="F88" t="s">
        <v>1909</v>
      </c>
      <c r="G88" t="s">
        <v>1910</v>
      </c>
      <c r="H88" t="s">
        <v>1909</v>
      </c>
      <c r="I88" t="str">
        <f>HYPERLINK("https://zfin.org/ZDB-GENE-141222-32")</f>
        <v>https://zfin.org/ZDB-GENE-141222-32</v>
      </c>
      <c r="J88" t="s">
        <v>1908</v>
      </c>
    </row>
    <row r="89" spans="1:10" x14ac:dyDescent="0.2">
      <c r="A89">
        <v>3.4367925007014501E-2</v>
      </c>
      <c r="B89">
        <v>-0.30984333160148902</v>
      </c>
      <c r="C89">
        <v>0.16400000000000001</v>
      </c>
      <c r="D89">
        <v>0.29399999999999998</v>
      </c>
      <c r="E89">
        <v>1</v>
      </c>
      <c r="F89" t="s">
        <v>3281</v>
      </c>
      <c r="G89" t="s">
        <v>3282</v>
      </c>
      <c r="H89" t="s">
        <v>3281</v>
      </c>
      <c r="I89" t="str">
        <f>HYPERLINK("https://zfin.org/ZDB-GENE-040714-2")</f>
        <v>https://zfin.org/ZDB-GENE-040714-2</v>
      </c>
      <c r="J89" t="s">
        <v>3280</v>
      </c>
    </row>
    <row r="90" spans="1:10" x14ac:dyDescent="0.2">
      <c r="A90">
        <v>3.4576675254733798E-2</v>
      </c>
      <c r="B90">
        <v>-0.25547179718167701</v>
      </c>
      <c r="C90">
        <v>0.64200000000000002</v>
      </c>
      <c r="D90">
        <v>0.69799999999999995</v>
      </c>
      <c r="E90">
        <v>1</v>
      </c>
      <c r="F90" t="s">
        <v>3278</v>
      </c>
      <c r="G90" t="s">
        <v>3279</v>
      </c>
      <c r="H90" t="s">
        <v>3278</v>
      </c>
      <c r="I90" t="str">
        <f>HYPERLINK("https://zfin.org/ZDB-GENE-030131-4918")</f>
        <v>https://zfin.org/ZDB-GENE-030131-4918</v>
      </c>
      <c r="J90" t="s">
        <v>3277</v>
      </c>
    </row>
    <row r="91" spans="1:10" x14ac:dyDescent="0.2">
      <c r="A91">
        <v>3.60588972603368E-2</v>
      </c>
      <c r="B91">
        <v>-0.37846191560134101</v>
      </c>
      <c r="C91">
        <v>0.46300000000000002</v>
      </c>
      <c r="D91">
        <v>0.55200000000000005</v>
      </c>
      <c r="E91">
        <v>1</v>
      </c>
      <c r="F91" t="s">
        <v>3275</v>
      </c>
      <c r="G91" t="s">
        <v>3276</v>
      </c>
      <c r="H91" t="s">
        <v>3275</v>
      </c>
      <c r="I91" t="str">
        <f>HYPERLINK("https://zfin.org/ZDB-GENE-030131-2221")</f>
        <v>https://zfin.org/ZDB-GENE-030131-2221</v>
      </c>
      <c r="J91" t="s">
        <v>3274</v>
      </c>
    </row>
    <row r="92" spans="1:10" x14ac:dyDescent="0.2">
      <c r="A92">
        <v>3.6209943597037698E-2</v>
      </c>
      <c r="B92">
        <v>-0.268254652545936</v>
      </c>
      <c r="C92">
        <v>0.34300000000000003</v>
      </c>
      <c r="D92">
        <v>0.48799999999999999</v>
      </c>
      <c r="E92">
        <v>1</v>
      </c>
      <c r="F92" t="s">
        <v>863</v>
      </c>
      <c r="G92" t="s">
        <v>864</v>
      </c>
      <c r="H92" t="s">
        <v>863</v>
      </c>
      <c r="I92" t="str">
        <f>HYPERLINK("https://zfin.org/ZDB-GENE-001208-4")</f>
        <v>https://zfin.org/ZDB-GENE-001208-4</v>
      </c>
      <c r="J92" t="s">
        <v>862</v>
      </c>
    </row>
    <row r="93" spans="1:10" x14ac:dyDescent="0.2">
      <c r="A93">
        <v>3.7682950238135601E-2</v>
      </c>
      <c r="B93">
        <v>-0.47004251121528301</v>
      </c>
      <c r="C93">
        <v>0.46300000000000002</v>
      </c>
      <c r="D93">
        <v>0.56299999999999994</v>
      </c>
      <c r="E93">
        <v>1</v>
      </c>
      <c r="F93" t="s">
        <v>3272</v>
      </c>
      <c r="G93" t="s">
        <v>3273</v>
      </c>
      <c r="H93" t="s">
        <v>3272</v>
      </c>
      <c r="I93" t="str">
        <f>HYPERLINK("https://zfin.org/ZDB-GENE-980526-320")</f>
        <v>https://zfin.org/ZDB-GENE-980526-320</v>
      </c>
      <c r="J93" t="s">
        <v>3271</v>
      </c>
    </row>
    <row r="94" spans="1:10" x14ac:dyDescent="0.2">
      <c r="A94">
        <v>3.7688928855681897E-2</v>
      </c>
      <c r="B94">
        <v>-0.31866248855620899</v>
      </c>
      <c r="C94">
        <v>4.4999999999999998E-2</v>
      </c>
      <c r="D94">
        <v>0.13900000000000001</v>
      </c>
      <c r="E94">
        <v>1</v>
      </c>
      <c r="F94" t="s">
        <v>3269</v>
      </c>
      <c r="G94" t="s">
        <v>3270</v>
      </c>
      <c r="H94" t="s">
        <v>3269</v>
      </c>
      <c r="I94" t="str">
        <f>HYPERLINK("https://zfin.org/ZDB-GENE-071205-7")</f>
        <v>https://zfin.org/ZDB-GENE-071205-7</v>
      </c>
      <c r="J94" t="s">
        <v>3268</v>
      </c>
    </row>
    <row r="95" spans="1:10" x14ac:dyDescent="0.2">
      <c r="A95">
        <v>3.8763427506716797E-2</v>
      </c>
      <c r="B95">
        <v>-0.25560492105355898</v>
      </c>
      <c r="C95">
        <v>0.50700000000000001</v>
      </c>
      <c r="D95">
        <v>0.61499999999999999</v>
      </c>
      <c r="E95">
        <v>1</v>
      </c>
      <c r="F95" t="s">
        <v>3266</v>
      </c>
      <c r="G95" t="s">
        <v>3267</v>
      </c>
      <c r="H95" t="s">
        <v>3266</v>
      </c>
      <c r="I95" t="str">
        <f>HYPERLINK("https://zfin.org/ZDB-GENE-040426-2308")</f>
        <v>https://zfin.org/ZDB-GENE-040426-2308</v>
      </c>
      <c r="J95" t="s">
        <v>3265</v>
      </c>
    </row>
    <row r="96" spans="1:10" x14ac:dyDescent="0.2">
      <c r="A96">
        <v>3.8835581325475897E-2</v>
      </c>
      <c r="B96">
        <v>-0.31658189724813002</v>
      </c>
      <c r="C96">
        <v>0.20899999999999999</v>
      </c>
      <c r="D96">
        <v>0.34899999999999998</v>
      </c>
      <c r="E96">
        <v>1</v>
      </c>
      <c r="F96" t="s">
        <v>1936</v>
      </c>
      <c r="G96" t="s">
        <v>1937</v>
      </c>
      <c r="H96" t="s">
        <v>1936</v>
      </c>
      <c r="I96" t="str">
        <f>HYPERLINK("https://zfin.org/ZDB-GENE-041010-89")</f>
        <v>https://zfin.org/ZDB-GENE-041010-89</v>
      </c>
      <c r="J96" t="s">
        <v>1935</v>
      </c>
    </row>
    <row r="97" spans="1:10" x14ac:dyDescent="0.2">
      <c r="A97">
        <v>3.9102983351314798E-2</v>
      </c>
      <c r="B97">
        <v>-0.36178866331607101</v>
      </c>
      <c r="C97">
        <v>0.17899999999999999</v>
      </c>
      <c r="D97">
        <v>0.29399999999999998</v>
      </c>
      <c r="E97">
        <v>1</v>
      </c>
      <c r="F97" t="s">
        <v>3263</v>
      </c>
      <c r="G97" t="s">
        <v>3264</v>
      </c>
      <c r="H97" t="s">
        <v>3263</v>
      </c>
      <c r="I97" t="str">
        <f>HYPERLINK("https://zfin.org/ZDB-GENE-000906-2")</f>
        <v>https://zfin.org/ZDB-GENE-000906-2</v>
      </c>
      <c r="J97" t="s">
        <v>3262</v>
      </c>
    </row>
    <row r="98" spans="1:10" x14ac:dyDescent="0.2">
      <c r="A98">
        <v>3.9236652835247902E-2</v>
      </c>
      <c r="B98">
        <v>-0.26274213314578199</v>
      </c>
      <c r="C98">
        <v>0.19400000000000001</v>
      </c>
      <c r="D98">
        <v>0.32900000000000001</v>
      </c>
      <c r="E98">
        <v>1</v>
      </c>
      <c r="F98" t="s">
        <v>3260</v>
      </c>
      <c r="G98" t="s">
        <v>3261</v>
      </c>
      <c r="H98" t="s">
        <v>3260</v>
      </c>
      <c r="I98" t="str">
        <f>HYPERLINK("https://zfin.org/ZDB-GENE-040625-50")</f>
        <v>https://zfin.org/ZDB-GENE-040625-50</v>
      </c>
      <c r="J98" t="s">
        <v>3259</v>
      </c>
    </row>
    <row r="99" spans="1:10" x14ac:dyDescent="0.2">
      <c r="A99">
        <v>3.9583004863852397E-2</v>
      </c>
      <c r="B99">
        <v>-0.42869040561969901</v>
      </c>
      <c r="C99">
        <v>0.85099999999999998</v>
      </c>
      <c r="D99">
        <v>0.877</v>
      </c>
      <c r="E99">
        <v>1</v>
      </c>
      <c r="F99" t="s">
        <v>2103</v>
      </c>
      <c r="G99" t="s">
        <v>2104</v>
      </c>
      <c r="H99" t="s">
        <v>2103</v>
      </c>
      <c r="I99" t="str">
        <f>HYPERLINK("https://zfin.org/ZDB-GENE-051120-126")</f>
        <v>https://zfin.org/ZDB-GENE-051120-126</v>
      </c>
      <c r="J99" t="s">
        <v>2102</v>
      </c>
    </row>
    <row r="100" spans="1:10" x14ac:dyDescent="0.2">
      <c r="A100">
        <v>4.0072107833677102E-2</v>
      </c>
      <c r="B100">
        <v>-0.43220204015525598</v>
      </c>
      <c r="C100">
        <v>0.38800000000000001</v>
      </c>
      <c r="D100">
        <v>0.48</v>
      </c>
      <c r="E100">
        <v>1</v>
      </c>
      <c r="F100" t="s">
        <v>3257</v>
      </c>
      <c r="G100" t="s">
        <v>3258</v>
      </c>
      <c r="H100" t="s">
        <v>3257</v>
      </c>
      <c r="I100" t="str">
        <f>HYPERLINK("https://zfin.org/ZDB-GENE-041007-4")</f>
        <v>https://zfin.org/ZDB-GENE-041007-4</v>
      </c>
      <c r="J100" t="s">
        <v>3256</v>
      </c>
    </row>
    <row r="101" spans="1:10" x14ac:dyDescent="0.2">
      <c r="A101">
        <v>4.0141116283519199E-2</v>
      </c>
      <c r="B101">
        <v>-0.274425011003401</v>
      </c>
      <c r="C101">
        <v>0.06</v>
      </c>
      <c r="D101">
        <v>0.159</v>
      </c>
      <c r="E101">
        <v>1</v>
      </c>
      <c r="F101" t="s">
        <v>3254</v>
      </c>
      <c r="G101" t="s">
        <v>3255</v>
      </c>
      <c r="H101" t="s">
        <v>3254</v>
      </c>
      <c r="I101" t="str">
        <f>HYPERLINK("https://zfin.org/ZDB-GENE-030425-5")</f>
        <v>https://zfin.org/ZDB-GENE-030425-5</v>
      </c>
      <c r="J101" t="s">
        <v>3253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82DD1-5913-9F43-A2CE-A8FCA38144CF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71.33203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1.3074059324621E-15</v>
      </c>
      <c r="B2">
        <v>1.20145297826927</v>
      </c>
      <c r="C2">
        <v>0.51500000000000001</v>
      </c>
      <c r="D2">
        <v>0.129</v>
      </c>
      <c r="E2">
        <v>2.0242566052310699E-11</v>
      </c>
      <c r="F2" t="s">
        <v>1337</v>
      </c>
      <c r="G2" t="s">
        <v>1338</v>
      </c>
      <c r="H2" t="s">
        <v>1337</v>
      </c>
      <c r="I2" t="str">
        <f>HYPERLINK("https://zfin.org/ZDB-GENE-110411-139")</f>
        <v>https://zfin.org/ZDB-GENE-110411-139</v>
      </c>
      <c r="J2" t="s">
        <v>1336</v>
      </c>
    </row>
    <row r="3" spans="1:10" x14ac:dyDescent="0.2">
      <c r="A3">
        <v>2.1854661077109499E-9</v>
      </c>
      <c r="B3">
        <v>0.863578272269658</v>
      </c>
      <c r="C3">
        <v>0.54500000000000004</v>
      </c>
      <c r="D3">
        <v>0.24099999999999999</v>
      </c>
      <c r="E3">
        <v>3.3837571745688698E-5</v>
      </c>
      <c r="F3" t="s">
        <v>2515</v>
      </c>
      <c r="G3" t="s">
        <v>2516</v>
      </c>
      <c r="H3" t="s">
        <v>2515</v>
      </c>
      <c r="I3" t="str">
        <f>HYPERLINK("https://zfin.org/ZDB-GENE-030521-10")</f>
        <v>https://zfin.org/ZDB-GENE-030521-10</v>
      </c>
      <c r="J3" t="s">
        <v>2514</v>
      </c>
    </row>
    <row r="4" spans="1:10" x14ac:dyDescent="0.2">
      <c r="A4">
        <v>6.7874670864298E-9</v>
      </c>
      <c r="B4">
        <v>1.04823480723483</v>
      </c>
      <c r="C4">
        <v>0.35599999999999998</v>
      </c>
      <c r="D4">
        <v>0.10299999999999999</v>
      </c>
      <c r="E4">
        <v>1.0509035289919299E-4</v>
      </c>
      <c r="F4" t="s">
        <v>1936</v>
      </c>
      <c r="G4" t="s">
        <v>1937</v>
      </c>
      <c r="H4" t="s">
        <v>1936</v>
      </c>
      <c r="I4" t="str">
        <f>HYPERLINK("https://zfin.org/ZDB-GENE-041010-89")</f>
        <v>https://zfin.org/ZDB-GENE-041010-89</v>
      </c>
      <c r="J4" t="s">
        <v>1935</v>
      </c>
    </row>
    <row r="5" spans="1:10" x14ac:dyDescent="0.2">
      <c r="A5">
        <v>3.2524630108781699E-7</v>
      </c>
      <c r="B5">
        <v>0.572939987379258</v>
      </c>
      <c r="C5">
        <v>0.59399999999999997</v>
      </c>
      <c r="D5">
        <v>0.32800000000000001</v>
      </c>
      <c r="E5">
        <v>5.0357884797426703E-3</v>
      </c>
      <c r="F5" t="s">
        <v>1906</v>
      </c>
      <c r="G5" t="s">
        <v>1907</v>
      </c>
      <c r="H5" t="s">
        <v>1906</v>
      </c>
      <c r="I5" t="str">
        <f>HYPERLINK("https://zfin.org/ZDB-GENE-980526-416")</f>
        <v>https://zfin.org/ZDB-GENE-980526-416</v>
      </c>
      <c r="J5" t="s">
        <v>1905</v>
      </c>
    </row>
    <row r="6" spans="1:10" x14ac:dyDescent="0.2">
      <c r="A6">
        <v>6.1413637146910801E-7</v>
      </c>
      <c r="B6">
        <v>0.49218007009446402</v>
      </c>
      <c r="C6">
        <v>0.188</v>
      </c>
      <c r="D6">
        <v>0.03</v>
      </c>
      <c r="E6">
        <v>9.5086734394561993E-3</v>
      </c>
      <c r="F6" t="s">
        <v>1713</v>
      </c>
      <c r="G6" t="s">
        <v>1714</v>
      </c>
      <c r="H6" t="s">
        <v>1713</v>
      </c>
      <c r="I6" t="str">
        <f>HYPERLINK("https://zfin.org/ZDB-GENE-030323-1")</f>
        <v>https://zfin.org/ZDB-GENE-030323-1</v>
      </c>
      <c r="J6" t="s">
        <v>1712</v>
      </c>
    </row>
    <row r="7" spans="1:10" x14ac:dyDescent="0.2">
      <c r="A7">
        <v>7.6540001626782702E-7</v>
      </c>
      <c r="B7">
        <v>0.31538216293335802</v>
      </c>
      <c r="C7">
        <v>0.99</v>
      </c>
      <c r="D7">
        <v>0.94</v>
      </c>
      <c r="E7">
        <v>1.18506884518748E-2</v>
      </c>
      <c r="F7" t="s">
        <v>1032</v>
      </c>
      <c r="G7" t="s">
        <v>1033</v>
      </c>
      <c r="H7" t="s">
        <v>1032</v>
      </c>
      <c r="I7" t="str">
        <f>HYPERLINK("https://zfin.org/ZDB-GENE-030131-8951")</f>
        <v>https://zfin.org/ZDB-GENE-030131-8951</v>
      </c>
      <c r="J7" t="s">
        <v>1031</v>
      </c>
    </row>
    <row r="8" spans="1:10" x14ac:dyDescent="0.2">
      <c r="A8">
        <v>7.9489141577638404E-7</v>
      </c>
      <c r="B8">
        <v>0.69421390307662201</v>
      </c>
      <c r="C8">
        <v>0.38600000000000001</v>
      </c>
      <c r="D8">
        <v>0.151</v>
      </c>
      <c r="E8">
        <v>1.23073037904657E-2</v>
      </c>
      <c r="F8" t="s">
        <v>1346</v>
      </c>
      <c r="G8" t="s">
        <v>1347</v>
      </c>
      <c r="H8" t="s">
        <v>1346</v>
      </c>
      <c r="I8" t="str">
        <f>HYPERLINK("https://zfin.org/ZDB-GENE-980526-29")</f>
        <v>https://zfin.org/ZDB-GENE-980526-29</v>
      </c>
      <c r="J8" t="s">
        <v>1345</v>
      </c>
    </row>
    <row r="9" spans="1:10" x14ac:dyDescent="0.2">
      <c r="A9">
        <v>6.8565135197407802E-6</v>
      </c>
      <c r="B9">
        <v>0.277781814133991</v>
      </c>
      <c r="C9">
        <v>0.99</v>
      </c>
      <c r="D9">
        <v>0.95299999999999996</v>
      </c>
      <c r="E9">
        <v>0.106159398826146</v>
      </c>
      <c r="F9" t="s">
        <v>288</v>
      </c>
      <c r="G9" t="s">
        <v>289</v>
      </c>
      <c r="H9" t="s">
        <v>288</v>
      </c>
      <c r="I9" t="str">
        <f>HYPERLINK("https://zfin.org/ZDB-GENE-030131-8708")</f>
        <v>https://zfin.org/ZDB-GENE-030131-8708</v>
      </c>
      <c r="J9" t="s">
        <v>290</v>
      </c>
    </row>
    <row r="10" spans="1:10" x14ac:dyDescent="0.2">
      <c r="A10">
        <v>3.2318281339994803E-5</v>
      </c>
      <c r="B10">
        <v>0.47701892745276703</v>
      </c>
      <c r="C10">
        <v>0.77200000000000002</v>
      </c>
      <c r="D10">
        <v>0.59899999999999998</v>
      </c>
      <c r="E10">
        <v>0.50038394998713898</v>
      </c>
      <c r="F10" t="s">
        <v>1473</v>
      </c>
      <c r="G10" t="s">
        <v>1474</v>
      </c>
      <c r="H10" t="s">
        <v>1473</v>
      </c>
      <c r="I10" t="str">
        <f>HYPERLINK("https://zfin.org/ZDB-GENE-080917-47")</f>
        <v>https://zfin.org/ZDB-GENE-080917-47</v>
      </c>
      <c r="J10" t="s">
        <v>1472</v>
      </c>
    </row>
    <row r="11" spans="1:10" x14ac:dyDescent="0.2">
      <c r="A11">
        <v>8.0606711220236696E-5</v>
      </c>
      <c r="B11">
        <v>0.279889274914844</v>
      </c>
      <c r="C11">
        <v>0.158</v>
      </c>
      <c r="D11">
        <v>3.4000000000000002E-2</v>
      </c>
      <c r="E11">
        <v>1</v>
      </c>
      <c r="F11" t="s">
        <v>842</v>
      </c>
      <c r="G11" t="s">
        <v>843</v>
      </c>
      <c r="H11" t="s">
        <v>842</v>
      </c>
      <c r="I11" t="str">
        <f>HYPERLINK("https://zfin.org/ZDB-GENE-030131-5561")</f>
        <v>https://zfin.org/ZDB-GENE-030131-5561</v>
      </c>
      <c r="J11" t="s">
        <v>841</v>
      </c>
    </row>
    <row r="12" spans="1:10" x14ac:dyDescent="0.2">
      <c r="A12">
        <v>3.4146800916552797E-4</v>
      </c>
      <c r="B12">
        <v>0.63389542563351398</v>
      </c>
      <c r="C12">
        <v>0.33700000000000002</v>
      </c>
      <c r="D12">
        <v>0.17699999999999999</v>
      </c>
      <c r="E12">
        <v>1</v>
      </c>
      <c r="F12" t="s">
        <v>3069</v>
      </c>
      <c r="G12" t="s">
        <v>3070</v>
      </c>
      <c r="H12" t="s">
        <v>3069</v>
      </c>
      <c r="I12" t="str">
        <f>HYPERLINK("https://zfin.org/ZDB-GENE-080722-2")</f>
        <v>https://zfin.org/ZDB-GENE-080722-2</v>
      </c>
      <c r="J12" t="s">
        <v>3068</v>
      </c>
    </row>
    <row r="13" spans="1:10" x14ac:dyDescent="0.2">
      <c r="A13">
        <v>3.5562871689230602E-4</v>
      </c>
      <c r="B13">
        <v>0.32120723486502401</v>
      </c>
      <c r="C13">
        <v>0.84199999999999997</v>
      </c>
      <c r="D13">
        <v>0.80600000000000005</v>
      </c>
      <c r="E13">
        <v>1</v>
      </c>
      <c r="F13" t="s">
        <v>927</v>
      </c>
      <c r="G13" t="s">
        <v>928</v>
      </c>
      <c r="H13" t="s">
        <v>927</v>
      </c>
      <c r="I13" t="str">
        <f>HYPERLINK("https://zfin.org/ZDB-GENE-040426-1706")</f>
        <v>https://zfin.org/ZDB-GENE-040426-1706</v>
      </c>
      <c r="J13" t="s">
        <v>926</v>
      </c>
    </row>
    <row r="14" spans="1:10" x14ac:dyDescent="0.2">
      <c r="A14">
        <v>5.1832316783897601E-4</v>
      </c>
      <c r="B14">
        <v>0.41654042181303802</v>
      </c>
      <c r="C14">
        <v>0.55400000000000005</v>
      </c>
      <c r="D14">
        <v>0.38400000000000001</v>
      </c>
      <c r="E14">
        <v>1</v>
      </c>
      <c r="F14" t="s">
        <v>2955</v>
      </c>
      <c r="G14" t="s">
        <v>2956</v>
      </c>
      <c r="H14" t="s">
        <v>2955</v>
      </c>
      <c r="I14" t="str">
        <f>HYPERLINK("https://zfin.org/ZDB-GENE-030131-7038")</f>
        <v>https://zfin.org/ZDB-GENE-030131-7038</v>
      </c>
      <c r="J14" t="s">
        <v>2954</v>
      </c>
    </row>
    <row r="15" spans="1:10" x14ac:dyDescent="0.2">
      <c r="A15">
        <v>5.95118752422411E-4</v>
      </c>
      <c r="B15">
        <v>0.37267236900011103</v>
      </c>
      <c r="C15">
        <v>0.20799999999999999</v>
      </c>
      <c r="D15">
        <v>7.8E-2</v>
      </c>
      <c r="E15">
        <v>1</v>
      </c>
      <c r="F15" t="s">
        <v>3554</v>
      </c>
      <c r="G15" t="s">
        <v>3555</v>
      </c>
      <c r="H15" t="s">
        <v>3554</v>
      </c>
      <c r="I15" t="str">
        <f>HYPERLINK("https://zfin.org/ZDB-GENE-061013-433")</f>
        <v>https://zfin.org/ZDB-GENE-061013-433</v>
      </c>
      <c r="J15" t="s">
        <v>3553</v>
      </c>
    </row>
    <row r="16" spans="1:10" x14ac:dyDescent="0.2">
      <c r="A16">
        <v>6.1977657177350598E-4</v>
      </c>
      <c r="B16">
        <v>0.439904992890775</v>
      </c>
      <c r="C16">
        <v>0.66300000000000003</v>
      </c>
      <c r="D16">
        <v>0.53</v>
      </c>
      <c r="E16">
        <v>1</v>
      </c>
      <c r="F16" t="s">
        <v>174</v>
      </c>
      <c r="G16" t="s">
        <v>175</v>
      </c>
      <c r="H16" t="s">
        <v>174</v>
      </c>
      <c r="I16" t="str">
        <f>HYPERLINK("https://zfin.org/ZDB-GENE-050308-1")</f>
        <v>https://zfin.org/ZDB-GENE-050308-1</v>
      </c>
      <c r="J16" t="s">
        <v>176</v>
      </c>
    </row>
    <row r="17" spans="1:10" x14ac:dyDescent="0.2">
      <c r="A17">
        <v>8.48975102072547E-4</v>
      </c>
      <c r="B17">
        <v>0.45836975975042799</v>
      </c>
      <c r="C17">
        <v>0.28699999999999998</v>
      </c>
      <c r="D17">
        <v>0.13800000000000001</v>
      </c>
      <c r="E17">
        <v>1</v>
      </c>
      <c r="F17" t="s">
        <v>1149</v>
      </c>
      <c r="G17" t="s">
        <v>1150</v>
      </c>
      <c r="H17" t="s">
        <v>1149</v>
      </c>
      <c r="I17" t="str">
        <f>HYPERLINK("https://zfin.org/ZDB-GENE-070912-648")</f>
        <v>https://zfin.org/ZDB-GENE-070912-648</v>
      </c>
      <c r="J17" t="s">
        <v>1148</v>
      </c>
    </row>
    <row r="18" spans="1:10" x14ac:dyDescent="0.2">
      <c r="A18">
        <v>1.0115916005277699E-3</v>
      </c>
      <c r="B18">
        <v>0.330561730984538</v>
      </c>
      <c r="C18">
        <v>0.129</v>
      </c>
      <c r="D18">
        <v>3.4000000000000002E-2</v>
      </c>
      <c r="E18">
        <v>1</v>
      </c>
      <c r="F18" t="s">
        <v>3551</v>
      </c>
      <c r="G18" t="s">
        <v>3552</v>
      </c>
      <c r="H18" t="s">
        <v>3551</v>
      </c>
      <c r="I18" t="str">
        <f>HYPERLINK("https://zfin.org/ZDB-GENE-021231-2")</f>
        <v>https://zfin.org/ZDB-GENE-021231-2</v>
      </c>
      <c r="J18" t="s">
        <v>3550</v>
      </c>
    </row>
    <row r="19" spans="1:10" x14ac:dyDescent="0.2">
      <c r="A19">
        <v>1.5236648889186599E-3</v>
      </c>
      <c r="B19">
        <v>0.48050759497683698</v>
      </c>
      <c r="C19">
        <v>0.16800000000000001</v>
      </c>
      <c r="D19">
        <v>0.06</v>
      </c>
      <c r="E19">
        <v>1</v>
      </c>
      <c r="F19" t="s">
        <v>3548</v>
      </c>
      <c r="G19" t="s">
        <v>3549</v>
      </c>
      <c r="H19" t="s">
        <v>3548</v>
      </c>
      <c r="I19" t="str">
        <f>HYPERLINK("https://zfin.org/ZDB-GENE-991019-5")</f>
        <v>https://zfin.org/ZDB-GENE-991019-5</v>
      </c>
      <c r="J19" t="s">
        <v>3547</v>
      </c>
    </row>
    <row r="20" spans="1:10" x14ac:dyDescent="0.2">
      <c r="A20">
        <v>2.1462493836724101E-3</v>
      </c>
      <c r="B20">
        <v>0.46978228221544399</v>
      </c>
      <c r="C20">
        <v>0.22800000000000001</v>
      </c>
      <c r="D20">
        <v>0.10299999999999999</v>
      </c>
      <c r="E20">
        <v>1</v>
      </c>
      <c r="F20" t="s">
        <v>2770</v>
      </c>
      <c r="G20" t="s">
        <v>2771</v>
      </c>
      <c r="H20" t="s">
        <v>2770</v>
      </c>
      <c r="I20" t="str">
        <f>HYPERLINK("https://zfin.org/ZDB-GENE-980526-521")</f>
        <v>https://zfin.org/ZDB-GENE-980526-521</v>
      </c>
      <c r="J20" t="s">
        <v>2769</v>
      </c>
    </row>
    <row r="21" spans="1:10" x14ac:dyDescent="0.2">
      <c r="A21">
        <v>2.3406099652629902E-3</v>
      </c>
      <c r="B21">
        <v>0.35001125003404998</v>
      </c>
      <c r="C21">
        <v>0.20799999999999999</v>
      </c>
      <c r="D21">
        <v>9.0999999999999998E-2</v>
      </c>
      <c r="E21">
        <v>1</v>
      </c>
      <c r="F21" t="s">
        <v>2943</v>
      </c>
      <c r="G21" t="s">
        <v>2944</v>
      </c>
      <c r="H21" t="s">
        <v>2943</v>
      </c>
      <c r="I21" t="str">
        <f>HYPERLINK("https://zfin.org/ZDB-GENE-990714-11")</f>
        <v>https://zfin.org/ZDB-GENE-990714-11</v>
      </c>
      <c r="J21" t="s">
        <v>2942</v>
      </c>
    </row>
    <row r="22" spans="1:10" x14ac:dyDescent="0.2">
      <c r="A22">
        <v>2.3563231795655998E-3</v>
      </c>
      <c r="B22">
        <v>0.27453017084668901</v>
      </c>
      <c r="C22">
        <v>0.129</v>
      </c>
      <c r="D22">
        <v>3.9E-2</v>
      </c>
      <c r="E22">
        <v>1</v>
      </c>
      <c r="F22" t="s">
        <v>3545</v>
      </c>
      <c r="G22" t="s">
        <v>3546</v>
      </c>
      <c r="H22" t="s">
        <v>3545</v>
      </c>
      <c r="I22" t="str">
        <f>HYPERLINK("https://zfin.org/ZDB-GENE-081104-397")</f>
        <v>https://zfin.org/ZDB-GENE-081104-397</v>
      </c>
      <c r="J22" t="s">
        <v>3544</v>
      </c>
    </row>
    <row r="23" spans="1:10" x14ac:dyDescent="0.2">
      <c r="A23">
        <v>2.6353172807675701E-3</v>
      </c>
      <c r="B23">
        <v>0.67915817687074798</v>
      </c>
      <c r="C23">
        <v>0.22800000000000001</v>
      </c>
      <c r="D23">
        <v>0.112</v>
      </c>
      <c r="E23">
        <v>1</v>
      </c>
      <c r="F23" t="s">
        <v>3542</v>
      </c>
      <c r="G23" t="s">
        <v>3543</v>
      </c>
      <c r="H23" t="s">
        <v>3542</v>
      </c>
      <c r="I23" t="str">
        <f>HYPERLINK("https://zfin.org/ZDB-GENE-990415-2")</f>
        <v>https://zfin.org/ZDB-GENE-990415-2</v>
      </c>
      <c r="J23" t="s">
        <v>3541</v>
      </c>
    </row>
    <row r="24" spans="1:10" x14ac:dyDescent="0.2">
      <c r="A24">
        <v>2.7729211738937898E-3</v>
      </c>
      <c r="B24">
        <v>0.300846618990532</v>
      </c>
      <c r="C24">
        <v>0.72299999999999998</v>
      </c>
      <c r="D24">
        <v>0.59899999999999998</v>
      </c>
      <c r="E24">
        <v>1</v>
      </c>
      <c r="F24" t="s">
        <v>1430</v>
      </c>
      <c r="G24" t="s">
        <v>1431</v>
      </c>
      <c r="H24" t="s">
        <v>1430</v>
      </c>
      <c r="I24" t="str">
        <f>HYPERLINK("https://zfin.org/ZDB-GENE-030829-65")</f>
        <v>https://zfin.org/ZDB-GENE-030829-65</v>
      </c>
      <c r="J24" t="s">
        <v>1429</v>
      </c>
    </row>
    <row r="25" spans="1:10" x14ac:dyDescent="0.2">
      <c r="A25">
        <v>3.0160022302563902E-3</v>
      </c>
      <c r="B25">
        <v>0.42223332946928399</v>
      </c>
      <c r="C25">
        <v>0.317</v>
      </c>
      <c r="D25">
        <v>0.17699999999999999</v>
      </c>
      <c r="E25">
        <v>1</v>
      </c>
      <c r="F25" t="s">
        <v>794</v>
      </c>
      <c r="G25" t="s">
        <v>795</v>
      </c>
      <c r="H25" t="s">
        <v>794</v>
      </c>
      <c r="I25" t="str">
        <f>HYPERLINK("https://zfin.org/ZDB-GENE-081028-55")</f>
        <v>https://zfin.org/ZDB-GENE-081028-55</v>
      </c>
      <c r="J25" t="s">
        <v>793</v>
      </c>
    </row>
    <row r="26" spans="1:10" x14ac:dyDescent="0.2">
      <c r="A26">
        <v>3.3803313870562398E-3</v>
      </c>
      <c r="B26">
        <v>0.26512756503342999</v>
      </c>
      <c r="C26">
        <v>0.109</v>
      </c>
      <c r="D26">
        <v>0.03</v>
      </c>
      <c r="E26">
        <v>1</v>
      </c>
      <c r="F26" t="s">
        <v>3539</v>
      </c>
      <c r="G26" t="s">
        <v>3540</v>
      </c>
      <c r="H26" t="s">
        <v>3539</v>
      </c>
      <c r="I26" t="str">
        <f>HYPERLINK("https://zfin.org/ZDB-GENE-030826-27")</f>
        <v>https://zfin.org/ZDB-GENE-030826-27</v>
      </c>
      <c r="J26" t="s">
        <v>3538</v>
      </c>
    </row>
    <row r="27" spans="1:10" x14ac:dyDescent="0.2">
      <c r="A27">
        <v>3.82999225695748E-3</v>
      </c>
      <c r="B27">
        <v>0.25726222494263501</v>
      </c>
      <c r="C27">
        <v>0.13900000000000001</v>
      </c>
      <c r="D27">
        <v>4.7E-2</v>
      </c>
      <c r="E27">
        <v>1</v>
      </c>
      <c r="F27" t="s">
        <v>2779</v>
      </c>
      <c r="G27" t="s">
        <v>2780</v>
      </c>
      <c r="H27" t="s">
        <v>2779</v>
      </c>
      <c r="I27" t="str">
        <f>HYPERLINK("https://zfin.org/ZDB-GENE-080804-1")</f>
        <v>https://zfin.org/ZDB-GENE-080804-1</v>
      </c>
      <c r="J27" t="s">
        <v>2778</v>
      </c>
    </row>
    <row r="28" spans="1:10" x14ac:dyDescent="0.2">
      <c r="A28">
        <v>4.4542880069062497E-3</v>
      </c>
      <c r="B28">
        <v>0.38495877209184198</v>
      </c>
      <c r="C28">
        <v>0.27700000000000002</v>
      </c>
      <c r="D28">
        <v>0.14699999999999999</v>
      </c>
      <c r="E28">
        <v>1</v>
      </c>
      <c r="F28" t="s">
        <v>3536</v>
      </c>
      <c r="G28" t="s">
        <v>3537</v>
      </c>
      <c r="H28" t="s">
        <v>3536</v>
      </c>
      <c r="I28" t="str">
        <f>HYPERLINK("https://zfin.org/ZDB-GENE-031010-41")</f>
        <v>https://zfin.org/ZDB-GENE-031010-41</v>
      </c>
      <c r="J28" t="s">
        <v>3535</v>
      </c>
    </row>
    <row r="29" spans="1:10" x14ac:dyDescent="0.2">
      <c r="A29">
        <v>4.8053086170974603E-3</v>
      </c>
      <c r="B29">
        <v>0.268911654614028</v>
      </c>
      <c r="C29">
        <v>0.14899999999999999</v>
      </c>
      <c r="D29">
        <v>5.6000000000000001E-2</v>
      </c>
      <c r="E29">
        <v>1</v>
      </c>
      <c r="F29" t="s">
        <v>3533</v>
      </c>
      <c r="G29" t="s">
        <v>3534</v>
      </c>
      <c r="H29" t="s">
        <v>3533</v>
      </c>
      <c r="I29" t="str">
        <f>HYPERLINK("https://zfin.org/ZDB-GENE-030219-177")</f>
        <v>https://zfin.org/ZDB-GENE-030219-177</v>
      </c>
      <c r="J29" t="s">
        <v>3532</v>
      </c>
    </row>
    <row r="30" spans="1:10" x14ac:dyDescent="0.2">
      <c r="A30">
        <v>4.9006574069846197E-3</v>
      </c>
      <c r="B30">
        <v>0.28756356595777699</v>
      </c>
      <c r="C30">
        <v>0.55400000000000005</v>
      </c>
      <c r="D30">
        <v>0.41799999999999998</v>
      </c>
      <c r="E30">
        <v>1</v>
      </c>
      <c r="F30" t="s">
        <v>3380</v>
      </c>
      <c r="G30" t="s">
        <v>3381</v>
      </c>
      <c r="H30" t="s">
        <v>3380</v>
      </c>
      <c r="I30" t="str">
        <f>HYPERLINK("https://zfin.org/ZDB-GENE-040426-1720")</f>
        <v>https://zfin.org/ZDB-GENE-040426-1720</v>
      </c>
      <c r="J30" t="s">
        <v>3379</v>
      </c>
    </row>
    <row r="31" spans="1:10" x14ac:dyDescent="0.2">
      <c r="A31">
        <v>5.4463363735853801E-3</v>
      </c>
      <c r="B31">
        <v>0.32274897789611001</v>
      </c>
      <c r="C31">
        <v>0.88100000000000001</v>
      </c>
      <c r="D31">
        <v>0.84099999999999997</v>
      </c>
      <c r="E31">
        <v>1</v>
      </c>
      <c r="F31" t="s">
        <v>82</v>
      </c>
      <c r="G31" t="s">
        <v>83</v>
      </c>
      <c r="H31" t="s">
        <v>84</v>
      </c>
      <c r="I31" t="str">
        <f>HYPERLINK("https://zfin.org/")</f>
        <v>https://zfin.org/</v>
      </c>
    </row>
    <row r="32" spans="1:10" x14ac:dyDescent="0.2">
      <c r="A32">
        <v>5.4600908608702899E-3</v>
      </c>
      <c r="B32">
        <v>0.33166237877962501</v>
      </c>
      <c r="C32">
        <v>0.53500000000000003</v>
      </c>
      <c r="D32">
        <v>0.40500000000000003</v>
      </c>
      <c r="E32">
        <v>1</v>
      </c>
      <c r="F32" t="s">
        <v>3530</v>
      </c>
      <c r="G32" t="s">
        <v>3531</v>
      </c>
      <c r="H32" t="s">
        <v>3530</v>
      </c>
      <c r="I32" t="str">
        <f>HYPERLINK("https://zfin.org/ZDB-GENE-040618-2")</f>
        <v>https://zfin.org/ZDB-GENE-040618-2</v>
      </c>
      <c r="J32" t="s">
        <v>3529</v>
      </c>
    </row>
    <row r="33" spans="1:10" x14ac:dyDescent="0.2">
      <c r="A33">
        <v>5.7260100897687299E-3</v>
      </c>
      <c r="B33">
        <v>0.48222966476470502</v>
      </c>
      <c r="C33">
        <v>0.39600000000000002</v>
      </c>
      <c r="D33">
        <v>0.27600000000000002</v>
      </c>
      <c r="E33">
        <v>1</v>
      </c>
      <c r="F33" t="s">
        <v>1800</v>
      </c>
      <c r="G33" t="s">
        <v>1801</v>
      </c>
      <c r="H33" t="s">
        <v>1800</v>
      </c>
      <c r="I33" t="str">
        <f>HYPERLINK("https://zfin.org/ZDB-GENE-021029-1")</f>
        <v>https://zfin.org/ZDB-GENE-021029-1</v>
      </c>
      <c r="J33" t="s">
        <v>1799</v>
      </c>
    </row>
    <row r="34" spans="1:10" x14ac:dyDescent="0.2">
      <c r="A34">
        <v>5.9967687969696001E-3</v>
      </c>
      <c r="B34">
        <v>0.417092186302643</v>
      </c>
      <c r="C34">
        <v>0.505</v>
      </c>
      <c r="D34">
        <v>0.38400000000000001</v>
      </c>
      <c r="E34">
        <v>1</v>
      </c>
      <c r="F34" t="s">
        <v>2566</v>
      </c>
      <c r="G34" t="s">
        <v>2567</v>
      </c>
      <c r="H34" t="s">
        <v>2566</v>
      </c>
      <c r="I34" t="str">
        <f>HYPERLINK("https://zfin.org/ZDB-GENE-030131-9914")</f>
        <v>https://zfin.org/ZDB-GENE-030131-9914</v>
      </c>
      <c r="J34" t="s">
        <v>2565</v>
      </c>
    </row>
    <row r="35" spans="1:10" x14ac:dyDescent="0.2">
      <c r="A35">
        <v>6.0158840114121204E-3</v>
      </c>
      <c r="B35">
        <v>0.42917202849866098</v>
      </c>
      <c r="C35">
        <v>0.39600000000000002</v>
      </c>
      <c r="D35">
        <v>0.28000000000000003</v>
      </c>
      <c r="E35">
        <v>1</v>
      </c>
      <c r="F35" t="s">
        <v>1746</v>
      </c>
      <c r="G35" t="s">
        <v>1747</v>
      </c>
      <c r="H35" t="s">
        <v>1746</v>
      </c>
      <c r="I35" t="str">
        <f>HYPERLINK("https://zfin.org/ZDB-GENE-040912-55")</f>
        <v>https://zfin.org/ZDB-GENE-040912-55</v>
      </c>
      <c r="J35" t="s">
        <v>1745</v>
      </c>
    </row>
    <row r="36" spans="1:10" x14ac:dyDescent="0.2">
      <c r="A36">
        <v>6.2688707254385297E-3</v>
      </c>
      <c r="B36">
        <v>0.41185175847330502</v>
      </c>
      <c r="C36">
        <v>0.35599999999999998</v>
      </c>
      <c r="D36">
        <v>0.25</v>
      </c>
      <c r="E36">
        <v>1</v>
      </c>
      <c r="F36" t="s">
        <v>2946</v>
      </c>
      <c r="G36" t="s">
        <v>2947</v>
      </c>
      <c r="H36" t="s">
        <v>2946</v>
      </c>
      <c r="I36" t="str">
        <f>HYPERLINK("https://zfin.org/ZDB-GENE-050417-241")</f>
        <v>https://zfin.org/ZDB-GENE-050417-241</v>
      </c>
      <c r="J36" t="s">
        <v>2945</v>
      </c>
    </row>
    <row r="37" spans="1:10" x14ac:dyDescent="0.2">
      <c r="A37">
        <v>6.4810575524020999E-3</v>
      </c>
      <c r="B37">
        <v>0.25967851284971399</v>
      </c>
      <c r="C37">
        <v>0.60399999999999998</v>
      </c>
      <c r="D37">
        <v>0.46100000000000002</v>
      </c>
      <c r="E37">
        <v>1</v>
      </c>
      <c r="F37" t="s">
        <v>3527</v>
      </c>
      <c r="G37" t="s">
        <v>3528</v>
      </c>
      <c r="H37" t="s">
        <v>3527</v>
      </c>
      <c r="I37" t="str">
        <f>HYPERLINK("https://zfin.org/ZDB-GENE-040625-168")</f>
        <v>https://zfin.org/ZDB-GENE-040625-168</v>
      </c>
      <c r="J37" t="s">
        <v>3526</v>
      </c>
    </row>
    <row r="38" spans="1:10" x14ac:dyDescent="0.2">
      <c r="A38">
        <v>6.5136450229820002E-3</v>
      </c>
      <c r="B38">
        <v>0.26302412701351902</v>
      </c>
      <c r="C38">
        <v>0.65300000000000002</v>
      </c>
      <c r="D38">
        <v>0.50900000000000001</v>
      </c>
      <c r="E38">
        <v>1</v>
      </c>
      <c r="F38" t="s">
        <v>3524</v>
      </c>
      <c r="G38" t="s">
        <v>3525</v>
      </c>
      <c r="H38" t="s">
        <v>3524</v>
      </c>
      <c r="I38" t="str">
        <f>HYPERLINK("https://zfin.org/ZDB-GENE-040426-2797")</f>
        <v>https://zfin.org/ZDB-GENE-040426-2797</v>
      </c>
      <c r="J38" t="s">
        <v>3523</v>
      </c>
    </row>
    <row r="39" spans="1:10" x14ac:dyDescent="0.2">
      <c r="A39">
        <v>6.9783038790665903E-3</v>
      </c>
      <c r="B39">
        <v>0.25413940240750799</v>
      </c>
      <c r="C39">
        <v>0.22800000000000001</v>
      </c>
      <c r="D39">
        <v>0.112</v>
      </c>
      <c r="E39">
        <v>1</v>
      </c>
      <c r="F39" t="s">
        <v>3521</v>
      </c>
      <c r="G39" t="s">
        <v>3522</v>
      </c>
      <c r="H39" t="s">
        <v>3521</v>
      </c>
      <c r="I39" t="str">
        <f>HYPERLINK("https://zfin.org/ZDB-GENE-050522-492")</f>
        <v>https://zfin.org/ZDB-GENE-050522-492</v>
      </c>
      <c r="J39" t="s">
        <v>3520</v>
      </c>
    </row>
    <row r="40" spans="1:10" x14ac:dyDescent="0.2">
      <c r="A40">
        <v>7.3042950166376597E-3</v>
      </c>
      <c r="B40">
        <v>0.37834014789138898</v>
      </c>
      <c r="C40">
        <v>0.17799999999999999</v>
      </c>
      <c r="D40">
        <v>8.2000000000000003E-2</v>
      </c>
      <c r="E40">
        <v>1</v>
      </c>
      <c r="F40" t="s">
        <v>3518</v>
      </c>
      <c r="G40" t="s">
        <v>3519</v>
      </c>
      <c r="H40" t="s">
        <v>3518</v>
      </c>
      <c r="I40" t="str">
        <f>HYPERLINK("https://zfin.org/ZDB-GENE-011105-1")</f>
        <v>https://zfin.org/ZDB-GENE-011105-1</v>
      </c>
      <c r="J40" t="s">
        <v>3517</v>
      </c>
    </row>
    <row r="41" spans="1:10" x14ac:dyDescent="0.2">
      <c r="A41">
        <v>7.5141111843107598E-3</v>
      </c>
      <c r="B41">
        <v>0.340061094461931</v>
      </c>
      <c r="C41">
        <v>0.27700000000000002</v>
      </c>
      <c r="D41">
        <v>0.155</v>
      </c>
      <c r="E41">
        <v>1</v>
      </c>
      <c r="F41" t="s">
        <v>3515</v>
      </c>
      <c r="G41" t="s">
        <v>3516</v>
      </c>
      <c r="H41" t="s">
        <v>3515</v>
      </c>
      <c r="I41" t="str">
        <f>HYPERLINK("https://zfin.org/ZDB-GENE-040426-1936")</f>
        <v>https://zfin.org/ZDB-GENE-040426-1936</v>
      </c>
      <c r="J41" t="s">
        <v>3514</v>
      </c>
    </row>
    <row r="42" spans="1:10" x14ac:dyDescent="0.2">
      <c r="A42">
        <v>8.0726825980217895E-3</v>
      </c>
      <c r="B42">
        <v>0.33353967432489001</v>
      </c>
      <c r="C42">
        <v>0.47499999999999998</v>
      </c>
      <c r="D42">
        <v>0.34100000000000003</v>
      </c>
      <c r="E42">
        <v>1</v>
      </c>
      <c r="F42" t="s">
        <v>3512</v>
      </c>
      <c r="G42" t="s">
        <v>3513</v>
      </c>
      <c r="H42" t="s">
        <v>3512</v>
      </c>
      <c r="I42" t="str">
        <f>HYPERLINK("https://zfin.org/ZDB-GENE-051030-93")</f>
        <v>https://zfin.org/ZDB-GENE-051030-93</v>
      </c>
      <c r="J42" t="s">
        <v>3511</v>
      </c>
    </row>
    <row r="43" spans="1:10" x14ac:dyDescent="0.2">
      <c r="A43">
        <v>9.2897738583914407E-3</v>
      </c>
      <c r="B43">
        <v>0.27629729640816397</v>
      </c>
      <c r="C43">
        <v>0.11899999999999999</v>
      </c>
      <c r="D43">
        <v>4.2999999999999997E-2</v>
      </c>
      <c r="E43">
        <v>1</v>
      </c>
      <c r="F43" t="s">
        <v>860</v>
      </c>
      <c r="G43" t="s">
        <v>861</v>
      </c>
      <c r="H43" t="s">
        <v>860</v>
      </c>
      <c r="I43" t="str">
        <f>HYPERLINK("https://zfin.org/ZDB-GENE-081105-161")</f>
        <v>https://zfin.org/ZDB-GENE-081105-161</v>
      </c>
      <c r="J43" t="s">
        <v>859</v>
      </c>
    </row>
    <row r="44" spans="1:10" x14ac:dyDescent="0.2">
      <c r="A44">
        <v>9.3915541780794295E-3</v>
      </c>
      <c r="B44">
        <v>0.46575353907679201</v>
      </c>
      <c r="C44">
        <v>0.71299999999999997</v>
      </c>
      <c r="D44">
        <v>0.60799999999999998</v>
      </c>
      <c r="E44">
        <v>1</v>
      </c>
      <c r="F44" t="s">
        <v>1470</v>
      </c>
      <c r="G44" t="s">
        <v>1471</v>
      </c>
      <c r="H44" t="s">
        <v>1470</v>
      </c>
      <c r="I44" t="str">
        <f>HYPERLINK("https://zfin.org/ZDB-GENE-031112-4")</f>
        <v>https://zfin.org/ZDB-GENE-031112-4</v>
      </c>
      <c r="J44" t="s">
        <v>1469</v>
      </c>
    </row>
    <row r="45" spans="1:10" x14ac:dyDescent="0.2">
      <c r="A45">
        <v>9.8376660028765307E-3</v>
      </c>
      <c r="B45">
        <v>0.32209572183706398</v>
      </c>
      <c r="C45">
        <v>0.45500000000000002</v>
      </c>
      <c r="D45">
        <v>0.33200000000000002</v>
      </c>
      <c r="E45">
        <v>1</v>
      </c>
      <c r="F45" t="s">
        <v>733</v>
      </c>
      <c r="G45" t="s">
        <v>734</v>
      </c>
      <c r="H45" t="s">
        <v>733</v>
      </c>
      <c r="I45" t="str">
        <f>HYPERLINK("https://zfin.org/ZDB-GENE-080723-23")</f>
        <v>https://zfin.org/ZDB-GENE-080723-23</v>
      </c>
      <c r="J45" t="s">
        <v>732</v>
      </c>
    </row>
    <row r="46" spans="1:10" x14ac:dyDescent="0.2">
      <c r="A46">
        <v>1.0017790405508001E-2</v>
      </c>
      <c r="B46">
        <v>0.37348413435557898</v>
      </c>
      <c r="C46">
        <v>0.28699999999999998</v>
      </c>
      <c r="D46">
        <v>0.18099999999999999</v>
      </c>
      <c r="E46">
        <v>1</v>
      </c>
      <c r="F46" t="s">
        <v>3509</v>
      </c>
      <c r="G46" t="s">
        <v>3510</v>
      </c>
      <c r="H46" t="s">
        <v>3509</v>
      </c>
      <c r="I46" t="str">
        <f>HYPERLINK("https://zfin.org/ZDB-GENE-040426-2648")</f>
        <v>https://zfin.org/ZDB-GENE-040426-2648</v>
      </c>
      <c r="J46" t="s">
        <v>3508</v>
      </c>
    </row>
    <row r="47" spans="1:10" x14ac:dyDescent="0.2">
      <c r="A47">
        <v>1.02454138819154E-2</v>
      </c>
      <c r="B47">
        <v>0.33207898348144299</v>
      </c>
      <c r="C47">
        <v>0.29699999999999999</v>
      </c>
      <c r="D47">
        <v>0.17699999999999999</v>
      </c>
      <c r="E47">
        <v>1</v>
      </c>
      <c r="F47" t="s">
        <v>3506</v>
      </c>
      <c r="G47" t="s">
        <v>3507</v>
      </c>
      <c r="H47" t="s">
        <v>3506</v>
      </c>
      <c r="I47" t="str">
        <f>HYPERLINK("https://zfin.org/ZDB-GENE-030829-2")</f>
        <v>https://zfin.org/ZDB-GENE-030829-2</v>
      </c>
      <c r="J47" t="s">
        <v>3505</v>
      </c>
    </row>
    <row r="48" spans="1:10" x14ac:dyDescent="0.2">
      <c r="A48">
        <v>1.0636242904419E-2</v>
      </c>
      <c r="B48">
        <v>0.26474473491540901</v>
      </c>
      <c r="C48">
        <v>0.109</v>
      </c>
      <c r="D48">
        <v>3.9E-2</v>
      </c>
      <c r="E48">
        <v>1</v>
      </c>
      <c r="F48" t="s">
        <v>3503</v>
      </c>
      <c r="G48" t="s">
        <v>3504</v>
      </c>
      <c r="H48" t="s">
        <v>3503</v>
      </c>
      <c r="I48" t="str">
        <f>HYPERLINK("https://zfin.org/")</f>
        <v>https://zfin.org/</v>
      </c>
    </row>
    <row r="49" spans="1:10" x14ac:dyDescent="0.2">
      <c r="A49">
        <v>1.07277373758207E-2</v>
      </c>
      <c r="B49">
        <v>0.34823996845893801</v>
      </c>
      <c r="C49">
        <v>0.42599999999999999</v>
      </c>
      <c r="D49">
        <v>0.29299999999999998</v>
      </c>
      <c r="E49">
        <v>1</v>
      </c>
      <c r="F49" t="s">
        <v>2479</v>
      </c>
      <c r="G49" t="s">
        <v>2480</v>
      </c>
      <c r="H49" t="s">
        <v>2479</v>
      </c>
      <c r="I49" t="str">
        <f>HYPERLINK("https://zfin.org/ZDB-GENE-050417-307")</f>
        <v>https://zfin.org/ZDB-GENE-050417-307</v>
      </c>
      <c r="J49" t="s">
        <v>2478</v>
      </c>
    </row>
    <row r="50" spans="1:10" x14ac:dyDescent="0.2">
      <c r="A50">
        <v>1.1309301321112601E-2</v>
      </c>
      <c r="B50">
        <v>0.37521424791605001</v>
      </c>
      <c r="C50">
        <v>0.41599999999999998</v>
      </c>
      <c r="D50">
        <v>0.29699999999999999</v>
      </c>
      <c r="E50">
        <v>1</v>
      </c>
      <c r="F50" t="s">
        <v>1334</v>
      </c>
      <c r="G50" t="s">
        <v>1335</v>
      </c>
      <c r="H50" t="s">
        <v>1334</v>
      </c>
      <c r="I50" t="str">
        <f>HYPERLINK("https://zfin.org/ZDB-GENE-061103-589")</f>
        <v>https://zfin.org/ZDB-GENE-061103-589</v>
      </c>
      <c r="J50" t="s">
        <v>1333</v>
      </c>
    </row>
    <row r="51" spans="1:10" x14ac:dyDescent="0.2">
      <c r="A51">
        <v>1.17108540085946E-2</v>
      </c>
      <c r="B51">
        <v>0.33620707378013998</v>
      </c>
      <c r="C51">
        <v>0.26700000000000002</v>
      </c>
      <c r="D51">
        <v>0.16400000000000001</v>
      </c>
      <c r="E51">
        <v>1</v>
      </c>
      <c r="F51" t="s">
        <v>3501</v>
      </c>
      <c r="G51" t="s">
        <v>3502</v>
      </c>
      <c r="H51" t="s">
        <v>3501</v>
      </c>
      <c r="I51" t="str">
        <f>HYPERLINK("https://zfin.org/ZDB-GENE-040718-167")</f>
        <v>https://zfin.org/ZDB-GENE-040718-167</v>
      </c>
      <c r="J51" t="s">
        <v>3500</v>
      </c>
    </row>
    <row r="52" spans="1:10" x14ac:dyDescent="0.2">
      <c r="A52">
        <v>1.1833581741919201E-2</v>
      </c>
      <c r="B52">
        <v>0.33021662231646098</v>
      </c>
      <c r="C52">
        <v>0.38600000000000001</v>
      </c>
      <c r="D52">
        <v>0.27600000000000002</v>
      </c>
      <c r="E52">
        <v>1</v>
      </c>
      <c r="F52" t="s">
        <v>3498</v>
      </c>
      <c r="G52" t="s">
        <v>3499</v>
      </c>
      <c r="H52" t="s">
        <v>3498</v>
      </c>
      <c r="I52" t="str">
        <f>HYPERLINK("https://zfin.org/ZDB-GENE-030131-1007")</f>
        <v>https://zfin.org/ZDB-GENE-030131-1007</v>
      </c>
      <c r="J52" t="s">
        <v>3497</v>
      </c>
    </row>
    <row r="53" spans="1:10" x14ac:dyDescent="0.2">
      <c r="A53">
        <v>1.19003814862147E-2</v>
      </c>
      <c r="B53">
        <v>0.402040089465038</v>
      </c>
      <c r="C53">
        <v>0.188</v>
      </c>
      <c r="D53">
        <v>9.9000000000000005E-2</v>
      </c>
      <c r="E53">
        <v>1</v>
      </c>
      <c r="F53" t="s">
        <v>2554</v>
      </c>
      <c r="G53" t="s">
        <v>2555</v>
      </c>
      <c r="H53" t="s">
        <v>2554</v>
      </c>
      <c r="I53" t="str">
        <f>HYPERLINK("https://zfin.org/ZDB-GENE-040420-1")</f>
        <v>https://zfin.org/ZDB-GENE-040420-1</v>
      </c>
      <c r="J53" t="s">
        <v>2553</v>
      </c>
    </row>
    <row r="54" spans="1:10" x14ac:dyDescent="0.2">
      <c r="A54">
        <v>1.2228151876381699E-2</v>
      </c>
      <c r="B54">
        <v>0.35173104725641302</v>
      </c>
      <c r="C54">
        <v>0.22800000000000001</v>
      </c>
      <c r="D54">
        <v>0.129</v>
      </c>
      <c r="E54">
        <v>1</v>
      </c>
      <c r="F54" t="s">
        <v>3495</v>
      </c>
      <c r="G54" t="s">
        <v>3496</v>
      </c>
      <c r="H54" t="s">
        <v>3495</v>
      </c>
      <c r="I54" t="str">
        <f>HYPERLINK("https://zfin.org/ZDB-GENE-040426-1280")</f>
        <v>https://zfin.org/ZDB-GENE-040426-1280</v>
      </c>
      <c r="J54" t="s">
        <v>3494</v>
      </c>
    </row>
    <row r="55" spans="1:10" x14ac:dyDescent="0.2">
      <c r="A55">
        <v>1.2379138360167E-2</v>
      </c>
      <c r="B55">
        <v>0.26342687177039897</v>
      </c>
      <c r="C55">
        <v>0.89100000000000001</v>
      </c>
      <c r="D55">
        <v>0.871</v>
      </c>
      <c r="E55">
        <v>1</v>
      </c>
      <c r="F55" t="s">
        <v>79</v>
      </c>
      <c r="G55" t="s">
        <v>80</v>
      </c>
      <c r="H55" t="s">
        <v>79</v>
      </c>
      <c r="I55" t="str">
        <f>HYPERLINK("https://zfin.org/ZDB-GENE-061111-1")</f>
        <v>https://zfin.org/ZDB-GENE-061111-1</v>
      </c>
      <c r="J55" t="s">
        <v>81</v>
      </c>
    </row>
    <row r="56" spans="1:10" x14ac:dyDescent="0.2">
      <c r="A56">
        <v>1.4600915862307899E-2</v>
      </c>
      <c r="B56">
        <v>0.43407361841247499</v>
      </c>
      <c r="C56">
        <v>0.46500000000000002</v>
      </c>
      <c r="D56">
        <v>0.35799999999999998</v>
      </c>
      <c r="E56">
        <v>1</v>
      </c>
      <c r="F56" t="s">
        <v>1208</v>
      </c>
      <c r="G56" t="s">
        <v>1209</v>
      </c>
      <c r="H56" t="s">
        <v>1208</v>
      </c>
      <c r="I56" t="str">
        <f>HYPERLINK("https://zfin.org/ZDB-GENE-020802-2")</f>
        <v>https://zfin.org/ZDB-GENE-020802-2</v>
      </c>
      <c r="J56" t="s">
        <v>1207</v>
      </c>
    </row>
    <row r="57" spans="1:10" x14ac:dyDescent="0.2">
      <c r="A57">
        <v>1.4847714468399E-2</v>
      </c>
      <c r="B57">
        <v>0.27783399971596001</v>
      </c>
      <c r="C57">
        <v>0.158</v>
      </c>
      <c r="D57">
        <v>7.2999999999999995E-2</v>
      </c>
      <c r="E57">
        <v>1</v>
      </c>
      <c r="F57" t="s">
        <v>3492</v>
      </c>
      <c r="G57" t="s">
        <v>3493</v>
      </c>
      <c r="H57" t="s">
        <v>3492</v>
      </c>
      <c r="I57" t="str">
        <f>HYPERLINK("https://zfin.org/ZDB-GENE-030131-6689")</f>
        <v>https://zfin.org/ZDB-GENE-030131-6689</v>
      </c>
      <c r="J57" t="s">
        <v>3491</v>
      </c>
    </row>
    <row r="58" spans="1:10" x14ac:dyDescent="0.2">
      <c r="A58">
        <v>1.60840831634682E-2</v>
      </c>
      <c r="B58">
        <v>0.26130536645882602</v>
      </c>
      <c r="C58">
        <v>0.48499999999999999</v>
      </c>
      <c r="D58">
        <v>0.36599999999999999</v>
      </c>
      <c r="E58">
        <v>1</v>
      </c>
      <c r="F58" t="s">
        <v>1611</v>
      </c>
      <c r="G58" t="s">
        <v>1612</v>
      </c>
      <c r="H58" t="s">
        <v>1611</v>
      </c>
      <c r="I58" t="str">
        <f>HYPERLINK("https://zfin.org/ZDB-GENE-060526-81")</f>
        <v>https://zfin.org/ZDB-GENE-060526-81</v>
      </c>
      <c r="J58" t="s">
        <v>1610</v>
      </c>
    </row>
    <row r="59" spans="1:10" x14ac:dyDescent="0.2">
      <c r="A59">
        <v>1.86667630562499E-2</v>
      </c>
      <c r="B59">
        <v>0.28479869919265499</v>
      </c>
      <c r="C59">
        <v>0.23799999999999999</v>
      </c>
      <c r="D59">
        <v>0.13800000000000001</v>
      </c>
      <c r="E59">
        <v>1</v>
      </c>
      <c r="F59" t="s">
        <v>3489</v>
      </c>
      <c r="G59" t="s">
        <v>3490</v>
      </c>
      <c r="H59" t="s">
        <v>3489</v>
      </c>
      <c r="I59" t="str">
        <f>HYPERLINK("https://zfin.org/ZDB-GENE-030909-8")</f>
        <v>https://zfin.org/ZDB-GENE-030909-8</v>
      </c>
      <c r="J59" t="s">
        <v>3488</v>
      </c>
    </row>
    <row r="60" spans="1:10" x14ac:dyDescent="0.2">
      <c r="A60">
        <v>1.9021029170820301E-2</v>
      </c>
      <c r="B60">
        <v>0.25995377192778202</v>
      </c>
      <c r="C60">
        <v>0.20799999999999999</v>
      </c>
      <c r="D60">
        <v>0.112</v>
      </c>
      <c r="E60">
        <v>1</v>
      </c>
      <c r="F60" t="s">
        <v>3486</v>
      </c>
      <c r="G60" t="s">
        <v>3487</v>
      </c>
      <c r="H60" t="s">
        <v>3486</v>
      </c>
      <c r="I60" t="str">
        <f>HYPERLINK("https://zfin.org/ZDB-GENE-030131-3151")</f>
        <v>https://zfin.org/ZDB-GENE-030131-3151</v>
      </c>
      <c r="J60" t="s">
        <v>3485</v>
      </c>
    </row>
    <row r="61" spans="1:10" x14ac:dyDescent="0.2">
      <c r="A61">
        <v>2.0941618416904399E-2</v>
      </c>
      <c r="B61">
        <v>0.27434098507837601</v>
      </c>
      <c r="C61">
        <v>0.129</v>
      </c>
      <c r="D61">
        <v>5.6000000000000001E-2</v>
      </c>
      <c r="E61">
        <v>1</v>
      </c>
      <c r="F61" t="s">
        <v>3483</v>
      </c>
      <c r="G61" t="s">
        <v>3484</v>
      </c>
      <c r="H61" t="s">
        <v>3483</v>
      </c>
      <c r="I61" t="str">
        <f>HYPERLINK("https://zfin.org/ZDB-GENE-030131-3806")</f>
        <v>https://zfin.org/ZDB-GENE-030131-3806</v>
      </c>
      <c r="J61" t="s">
        <v>3482</v>
      </c>
    </row>
    <row r="62" spans="1:10" x14ac:dyDescent="0.2">
      <c r="A62">
        <v>2.14713828632088E-2</v>
      </c>
      <c r="B62">
        <v>0.27687193247771802</v>
      </c>
      <c r="C62">
        <v>0.32700000000000001</v>
      </c>
      <c r="D62">
        <v>0.216</v>
      </c>
      <c r="E62">
        <v>1</v>
      </c>
      <c r="F62" t="s">
        <v>2922</v>
      </c>
      <c r="G62" t="s">
        <v>2923</v>
      </c>
      <c r="H62" t="s">
        <v>2922</v>
      </c>
      <c r="I62" t="str">
        <f>HYPERLINK("https://zfin.org/ZDB-GENE-040801-69")</f>
        <v>https://zfin.org/ZDB-GENE-040801-69</v>
      </c>
      <c r="J62" t="s">
        <v>2921</v>
      </c>
    </row>
    <row r="63" spans="1:10" x14ac:dyDescent="0.2">
      <c r="A63">
        <v>2.1564684063429099E-2</v>
      </c>
      <c r="B63">
        <v>0.27282206614446503</v>
      </c>
      <c r="C63">
        <v>0.16800000000000001</v>
      </c>
      <c r="D63">
        <v>8.5999999999999993E-2</v>
      </c>
      <c r="E63">
        <v>1</v>
      </c>
      <c r="F63" t="s">
        <v>3480</v>
      </c>
      <c r="G63" t="s">
        <v>3481</v>
      </c>
      <c r="H63" t="s">
        <v>3480</v>
      </c>
      <c r="I63" t="str">
        <f>HYPERLINK("https://zfin.org/ZDB-GENE-980605-30")</f>
        <v>https://zfin.org/ZDB-GENE-980605-30</v>
      </c>
      <c r="J63" t="s">
        <v>3479</v>
      </c>
    </row>
    <row r="64" spans="1:10" x14ac:dyDescent="0.2">
      <c r="A64">
        <v>2.3022450993094998E-2</v>
      </c>
      <c r="B64">
        <v>0.334420819783186</v>
      </c>
      <c r="C64">
        <v>0.40600000000000003</v>
      </c>
      <c r="D64">
        <v>0.29699999999999999</v>
      </c>
      <c r="E64">
        <v>1</v>
      </c>
      <c r="F64" t="s">
        <v>3477</v>
      </c>
      <c r="G64" t="s">
        <v>3478</v>
      </c>
      <c r="H64" t="s">
        <v>3477</v>
      </c>
      <c r="I64" t="str">
        <f>HYPERLINK("https://zfin.org/ZDB-GENE-980526-527")</f>
        <v>https://zfin.org/ZDB-GENE-980526-527</v>
      </c>
      <c r="J64" t="s">
        <v>3476</v>
      </c>
    </row>
    <row r="65" spans="1:10" x14ac:dyDescent="0.2">
      <c r="A65">
        <v>2.3299427810409699E-2</v>
      </c>
      <c r="B65">
        <v>0.281561228037505</v>
      </c>
      <c r="C65">
        <v>0.23799999999999999</v>
      </c>
      <c r="D65">
        <v>0.13800000000000001</v>
      </c>
      <c r="E65">
        <v>1</v>
      </c>
      <c r="F65" t="s">
        <v>3474</v>
      </c>
      <c r="G65" t="s">
        <v>3475</v>
      </c>
      <c r="H65" t="s">
        <v>3474</v>
      </c>
      <c r="I65" t="str">
        <f>HYPERLINK("https://zfin.org/ZDB-GENE-030131-309")</f>
        <v>https://zfin.org/ZDB-GENE-030131-309</v>
      </c>
      <c r="J65" t="s">
        <v>3473</v>
      </c>
    </row>
    <row r="66" spans="1:10" x14ac:dyDescent="0.2">
      <c r="A66">
        <v>2.5064052564120601E-2</v>
      </c>
      <c r="B66">
        <v>0.327194043600957</v>
      </c>
      <c r="C66">
        <v>0.248</v>
      </c>
      <c r="D66">
        <v>0.159</v>
      </c>
      <c r="E66">
        <v>1</v>
      </c>
      <c r="F66" t="s">
        <v>3471</v>
      </c>
      <c r="G66" t="s">
        <v>3472</v>
      </c>
      <c r="H66" t="s">
        <v>3471</v>
      </c>
      <c r="I66" t="str">
        <f>HYPERLINK("https://zfin.org/ZDB-GENE-040426-2766")</f>
        <v>https://zfin.org/ZDB-GENE-040426-2766</v>
      </c>
      <c r="J66" t="s">
        <v>3470</v>
      </c>
    </row>
    <row r="67" spans="1:10" x14ac:dyDescent="0.2">
      <c r="A67">
        <v>2.5765333918720702E-2</v>
      </c>
      <c r="B67">
        <v>0.25880445036186001</v>
      </c>
      <c r="C67">
        <v>0.29699999999999999</v>
      </c>
      <c r="D67">
        <v>0.19400000000000001</v>
      </c>
      <c r="E67">
        <v>1</v>
      </c>
      <c r="F67" t="s">
        <v>2461</v>
      </c>
      <c r="G67" t="s">
        <v>2462</v>
      </c>
      <c r="H67" t="s">
        <v>2461</v>
      </c>
      <c r="I67" t="str">
        <f>HYPERLINK("https://zfin.org/ZDB-GENE-080829-3")</f>
        <v>https://zfin.org/ZDB-GENE-080829-3</v>
      </c>
      <c r="J67" t="s">
        <v>2460</v>
      </c>
    </row>
    <row r="68" spans="1:10" x14ac:dyDescent="0.2">
      <c r="A68">
        <v>2.6441633960017401E-2</v>
      </c>
      <c r="B68">
        <v>0.32231346255986199</v>
      </c>
      <c r="C68">
        <v>0.129</v>
      </c>
      <c r="D68">
        <v>0.06</v>
      </c>
      <c r="E68">
        <v>1</v>
      </c>
      <c r="F68" t="s">
        <v>3468</v>
      </c>
      <c r="G68" t="s">
        <v>3469</v>
      </c>
      <c r="H68" t="s">
        <v>3468</v>
      </c>
      <c r="I68" t="str">
        <f>HYPERLINK("https://zfin.org/ZDB-GENE-141215-21")</f>
        <v>https://zfin.org/ZDB-GENE-141215-21</v>
      </c>
      <c r="J68" t="s">
        <v>3467</v>
      </c>
    </row>
    <row r="69" spans="1:10" x14ac:dyDescent="0.2">
      <c r="A69">
        <v>2.6978406653786799E-2</v>
      </c>
      <c r="B69">
        <v>0.27618366899428798</v>
      </c>
      <c r="C69">
        <v>0.376</v>
      </c>
      <c r="D69">
        <v>0.25900000000000001</v>
      </c>
      <c r="E69">
        <v>1</v>
      </c>
      <c r="F69" t="s">
        <v>3465</v>
      </c>
      <c r="G69" t="s">
        <v>3466</v>
      </c>
      <c r="H69" t="s">
        <v>3465</v>
      </c>
      <c r="I69" t="str">
        <f>HYPERLINK("https://zfin.org/ZDB-GENE-061103-154")</f>
        <v>https://zfin.org/ZDB-GENE-061103-154</v>
      </c>
      <c r="J69" t="s">
        <v>3464</v>
      </c>
    </row>
    <row r="70" spans="1:10" x14ac:dyDescent="0.2">
      <c r="A70">
        <v>2.7334727058990999E-2</v>
      </c>
      <c r="B70">
        <v>0.28141985052657997</v>
      </c>
      <c r="C70">
        <v>0.65300000000000002</v>
      </c>
      <c r="D70">
        <v>0.58599999999999997</v>
      </c>
      <c r="E70">
        <v>1</v>
      </c>
      <c r="F70" t="s">
        <v>3462</v>
      </c>
      <c r="G70" t="s">
        <v>3463</v>
      </c>
      <c r="H70" t="s">
        <v>3462</v>
      </c>
      <c r="I70" t="str">
        <f>HYPERLINK("https://zfin.org/ZDB-GENE-040504-1")</f>
        <v>https://zfin.org/ZDB-GENE-040504-1</v>
      </c>
      <c r="J70" t="s">
        <v>3461</v>
      </c>
    </row>
    <row r="71" spans="1:10" x14ac:dyDescent="0.2">
      <c r="A71">
        <v>2.8947229237205E-2</v>
      </c>
      <c r="B71">
        <v>0.28613842411685603</v>
      </c>
      <c r="C71">
        <v>0.109</v>
      </c>
      <c r="D71">
        <v>4.7E-2</v>
      </c>
      <c r="E71">
        <v>1</v>
      </c>
      <c r="F71" t="s">
        <v>3459</v>
      </c>
      <c r="G71" t="s">
        <v>3460</v>
      </c>
      <c r="H71" t="s">
        <v>3459</v>
      </c>
      <c r="I71" t="str">
        <f>HYPERLINK("https://zfin.org/ZDB-GENE-030918-2")</f>
        <v>https://zfin.org/ZDB-GENE-030918-2</v>
      </c>
      <c r="J71" t="s">
        <v>3458</v>
      </c>
    </row>
    <row r="72" spans="1:10" x14ac:dyDescent="0.2">
      <c r="A72">
        <v>3.0755462491000501E-2</v>
      </c>
      <c r="B72">
        <v>0.29690138723905002</v>
      </c>
      <c r="C72">
        <v>0.14899999999999999</v>
      </c>
      <c r="D72">
        <v>7.8E-2</v>
      </c>
      <c r="E72">
        <v>1</v>
      </c>
      <c r="F72" t="s">
        <v>3456</v>
      </c>
      <c r="G72" t="s">
        <v>3457</v>
      </c>
      <c r="H72" t="s">
        <v>3456</v>
      </c>
      <c r="I72" t="str">
        <f>HYPERLINK("https://zfin.org/ZDB-GENE-070629-5")</f>
        <v>https://zfin.org/ZDB-GENE-070629-5</v>
      </c>
      <c r="J72" t="s">
        <v>3455</v>
      </c>
    </row>
    <row r="73" spans="1:10" x14ac:dyDescent="0.2">
      <c r="A73">
        <v>3.1781125224250799E-2</v>
      </c>
      <c r="B73">
        <v>0.25764752825986698</v>
      </c>
      <c r="C73">
        <v>0.158</v>
      </c>
      <c r="D73">
        <v>8.2000000000000003E-2</v>
      </c>
      <c r="E73">
        <v>1</v>
      </c>
      <c r="F73" t="s">
        <v>3453</v>
      </c>
      <c r="G73" t="s">
        <v>3454</v>
      </c>
      <c r="H73" t="s">
        <v>3453</v>
      </c>
      <c r="I73" t="str">
        <f>HYPERLINK("https://zfin.org/ZDB-GENE-020419-36")</f>
        <v>https://zfin.org/ZDB-GENE-020419-36</v>
      </c>
      <c r="J73" t="s">
        <v>3452</v>
      </c>
    </row>
    <row r="74" spans="1:10" x14ac:dyDescent="0.2">
      <c r="A74">
        <v>3.2307191269013699E-2</v>
      </c>
      <c r="B74">
        <v>0.29502225968029799</v>
      </c>
      <c r="C74">
        <v>0.34699999999999998</v>
      </c>
      <c r="D74">
        <v>0.24099999999999999</v>
      </c>
      <c r="E74">
        <v>1</v>
      </c>
      <c r="F74" t="s">
        <v>3386</v>
      </c>
      <c r="G74" t="s">
        <v>3387</v>
      </c>
      <c r="H74" t="s">
        <v>3386</v>
      </c>
      <c r="I74" t="str">
        <f>HYPERLINK("https://zfin.org/ZDB-GENE-030616-624")</f>
        <v>https://zfin.org/ZDB-GENE-030616-624</v>
      </c>
      <c r="J74" t="s">
        <v>3385</v>
      </c>
    </row>
    <row r="75" spans="1:10" x14ac:dyDescent="0.2">
      <c r="A75">
        <v>3.3661801653591103E-2</v>
      </c>
      <c r="B75">
        <v>0.27785649625373199</v>
      </c>
      <c r="C75">
        <v>0.188</v>
      </c>
      <c r="D75">
        <v>0.108</v>
      </c>
      <c r="E75">
        <v>1</v>
      </c>
      <c r="F75" t="s">
        <v>3450</v>
      </c>
      <c r="G75" t="s">
        <v>3451</v>
      </c>
      <c r="H75" t="s">
        <v>3450</v>
      </c>
      <c r="I75" t="str">
        <f>HYPERLINK("https://zfin.org/ZDB-GENE-040426-1533")</f>
        <v>https://zfin.org/ZDB-GENE-040426-1533</v>
      </c>
      <c r="J75" t="s">
        <v>3449</v>
      </c>
    </row>
    <row r="76" spans="1:10" x14ac:dyDescent="0.2">
      <c r="A76">
        <v>3.4858400276776502E-2</v>
      </c>
      <c r="B76">
        <v>0.26032766710745098</v>
      </c>
      <c r="C76">
        <v>0.53500000000000003</v>
      </c>
      <c r="D76">
        <v>0.44800000000000001</v>
      </c>
      <c r="E76">
        <v>1</v>
      </c>
      <c r="F76" t="s">
        <v>3275</v>
      </c>
      <c r="G76" t="s">
        <v>3276</v>
      </c>
      <c r="H76" t="s">
        <v>3275</v>
      </c>
      <c r="I76" t="str">
        <f>HYPERLINK("https://zfin.org/ZDB-GENE-030131-2221")</f>
        <v>https://zfin.org/ZDB-GENE-030131-2221</v>
      </c>
      <c r="J76" t="s">
        <v>3274</v>
      </c>
    </row>
    <row r="77" spans="1:10" x14ac:dyDescent="0.2">
      <c r="A77">
        <v>3.8004188212517699E-2</v>
      </c>
      <c r="B77">
        <v>0.28623960695502898</v>
      </c>
      <c r="C77">
        <v>0.27700000000000002</v>
      </c>
      <c r="D77">
        <v>0.18099999999999999</v>
      </c>
      <c r="E77">
        <v>1</v>
      </c>
      <c r="F77" t="s">
        <v>3447</v>
      </c>
      <c r="G77" t="s">
        <v>3448</v>
      </c>
      <c r="H77" t="s">
        <v>3447</v>
      </c>
      <c r="I77" t="str">
        <f>HYPERLINK("https://zfin.org/ZDB-GENE-041010-152")</f>
        <v>https://zfin.org/ZDB-GENE-041010-152</v>
      </c>
      <c r="J77" t="s">
        <v>3446</v>
      </c>
    </row>
    <row r="78" spans="1:10" x14ac:dyDescent="0.2">
      <c r="A78">
        <v>3.80368429994574E-2</v>
      </c>
      <c r="B78">
        <v>0.26293353223874899</v>
      </c>
      <c r="C78">
        <v>0.248</v>
      </c>
      <c r="D78">
        <v>0.159</v>
      </c>
      <c r="E78">
        <v>1</v>
      </c>
      <c r="F78" t="s">
        <v>3444</v>
      </c>
      <c r="G78" t="s">
        <v>3445</v>
      </c>
      <c r="H78" t="s">
        <v>3444</v>
      </c>
      <c r="I78" t="str">
        <f>HYPERLINK("https://zfin.org/ZDB-GENE-021028-1")</f>
        <v>https://zfin.org/ZDB-GENE-021028-1</v>
      </c>
      <c r="J78" t="s">
        <v>3443</v>
      </c>
    </row>
    <row r="79" spans="1:10" x14ac:dyDescent="0.2">
      <c r="A79">
        <v>4.2226627331733303E-2</v>
      </c>
      <c r="B79">
        <v>0.29067349564675299</v>
      </c>
      <c r="C79">
        <v>0.19800000000000001</v>
      </c>
      <c r="D79">
        <v>0.121</v>
      </c>
      <c r="E79">
        <v>1</v>
      </c>
      <c r="F79" t="s">
        <v>3441</v>
      </c>
      <c r="G79" t="s">
        <v>3442</v>
      </c>
      <c r="H79" t="s">
        <v>3441</v>
      </c>
      <c r="I79" t="str">
        <f>HYPERLINK("https://zfin.org/ZDB-GENE-030131-458")</f>
        <v>https://zfin.org/ZDB-GENE-030131-458</v>
      </c>
      <c r="J79" t="s">
        <v>3440</v>
      </c>
    </row>
    <row r="80" spans="1:10" x14ac:dyDescent="0.2">
      <c r="A80">
        <v>4.5344400914071999E-2</v>
      </c>
      <c r="B80">
        <v>0.27553504711391202</v>
      </c>
      <c r="C80">
        <v>0.109</v>
      </c>
      <c r="D80">
        <v>5.1999999999999998E-2</v>
      </c>
      <c r="E80">
        <v>1</v>
      </c>
      <c r="F80" t="s">
        <v>3438</v>
      </c>
      <c r="G80" t="s">
        <v>3439</v>
      </c>
      <c r="H80" t="s">
        <v>3438</v>
      </c>
      <c r="I80" t="str">
        <f>HYPERLINK("https://zfin.org/ZDB-GENE-040426-694")</f>
        <v>https://zfin.org/ZDB-GENE-040426-694</v>
      </c>
      <c r="J80" t="s">
        <v>3437</v>
      </c>
    </row>
    <row r="81" spans="1:10" x14ac:dyDescent="0.2">
      <c r="A81">
        <v>4.6622481292748597E-2</v>
      </c>
      <c r="B81">
        <v>0.25089344958347098</v>
      </c>
      <c r="C81">
        <v>0.47499999999999998</v>
      </c>
      <c r="D81">
        <v>0.38800000000000001</v>
      </c>
      <c r="E81">
        <v>1</v>
      </c>
      <c r="F81" t="s">
        <v>2646</v>
      </c>
      <c r="G81" t="s">
        <v>2647</v>
      </c>
      <c r="H81" t="s">
        <v>2646</v>
      </c>
      <c r="I81" t="str">
        <f>HYPERLINK("https://zfin.org/ZDB-GENE-070112-2272")</f>
        <v>https://zfin.org/ZDB-GENE-070112-2272</v>
      </c>
      <c r="J81" t="s">
        <v>2645</v>
      </c>
    </row>
    <row r="82" spans="1:10" x14ac:dyDescent="0.2">
      <c r="A82">
        <v>4.9234644239863401E-2</v>
      </c>
      <c r="B82">
        <v>0.25113635378891902</v>
      </c>
      <c r="C82">
        <v>0.17799999999999999</v>
      </c>
      <c r="D82">
        <v>0.10299999999999999</v>
      </c>
      <c r="E82">
        <v>1</v>
      </c>
      <c r="F82" t="s">
        <v>3435</v>
      </c>
      <c r="G82" t="s">
        <v>3436</v>
      </c>
      <c r="H82" t="s">
        <v>3435</v>
      </c>
      <c r="I82" t="str">
        <f>HYPERLINK("https://zfin.org/ZDB-GENE-030131-6269")</f>
        <v>https://zfin.org/ZDB-GENE-030131-6269</v>
      </c>
      <c r="J82" t="s">
        <v>3434</v>
      </c>
    </row>
    <row r="83" spans="1:10" x14ac:dyDescent="0.2">
      <c r="A83">
        <v>5.0344363734045001E-2</v>
      </c>
      <c r="B83">
        <v>0.26515065083533801</v>
      </c>
      <c r="C83">
        <v>0.317</v>
      </c>
      <c r="D83">
        <v>0.23699999999999999</v>
      </c>
      <c r="E83">
        <v>1</v>
      </c>
      <c r="F83" t="s">
        <v>3432</v>
      </c>
      <c r="G83" t="s">
        <v>3433</v>
      </c>
      <c r="H83" t="s">
        <v>3432</v>
      </c>
      <c r="I83" t="str">
        <f>HYPERLINK("https://zfin.org/ZDB-GENE-080104-5")</f>
        <v>https://zfin.org/ZDB-GENE-080104-5</v>
      </c>
      <c r="J83" t="s">
        <v>3431</v>
      </c>
    </row>
    <row r="84" spans="1:10" x14ac:dyDescent="0.2">
      <c r="A84">
        <v>5.0509005416785803E-2</v>
      </c>
      <c r="B84">
        <v>0.26180254533585401</v>
      </c>
      <c r="C84">
        <v>0.54500000000000004</v>
      </c>
      <c r="D84">
        <v>0.47</v>
      </c>
      <c r="E84">
        <v>1</v>
      </c>
      <c r="F84" t="s">
        <v>2581</v>
      </c>
      <c r="G84" t="s">
        <v>2582</v>
      </c>
      <c r="H84" t="s">
        <v>2581</v>
      </c>
      <c r="I84" t="str">
        <f>HYPERLINK("https://zfin.org/ZDB-GENE-030131-7103")</f>
        <v>https://zfin.org/ZDB-GENE-030131-7103</v>
      </c>
      <c r="J84" t="s">
        <v>2580</v>
      </c>
    </row>
    <row r="85" spans="1:10" x14ac:dyDescent="0.2">
      <c r="A85">
        <v>5.0957407775119798E-2</v>
      </c>
      <c r="B85">
        <v>0.283026239021473</v>
      </c>
      <c r="C85">
        <v>0.158</v>
      </c>
      <c r="D85">
        <v>9.0999999999999998E-2</v>
      </c>
      <c r="E85">
        <v>1</v>
      </c>
      <c r="F85" t="s">
        <v>3429</v>
      </c>
      <c r="G85" t="s">
        <v>3430</v>
      </c>
      <c r="H85" t="s">
        <v>3429</v>
      </c>
      <c r="I85" t="str">
        <f>HYPERLINK("https://zfin.org/ZDB-GENE-041010-217")</f>
        <v>https://zfin.org/ZDB-GENE-041010-217</v>
      </c>
      <c r="J85" t="s">
        <v>3428</v>
      </c>
    </row>
    <row r="86" spans="1:10" x14ac:dyDescent="0.2">
      <c r="A86">
        <v>6.5585307497534301E-2</v>
      </c>
      <c r="B86">
        <v>0.29391688632157897</v>
      </c>
      <c r="C86">
        <v>0.14899999999999999</v>
      </c>
      <c r="D86">
        <v>8.5999999999999993E-2</v>
      </c>
      <c r="E86">
        <v>1</v>
      </c>
      <c r="F86" t="s">
        <v>3426</v>
      </c>
      <c r="G86" t="s">
        <v>3427</v>
      </c>
      <c r="H86" t="s">
        <v>3426</v>
      </c>
      <c r="I86" t="str">
        <f>HYPERLINK("https://zfin.org/ZDB-GENE-040718-283")</f>
        <v>https://zfin.org/ZDB-GENE-040718-283</v>
      </c>
      <c r="J86" t="s">
        <v>3425</v>
      </c>
    </row>
    <row r="87" spans="1:10" x14ac:dyDescent="0.2">
      <c r="A87">
        <v>6.6468197567889506E-2</v>
      </c>
      <c r="B87">
        <v>0.33495545304345498</v>
      </c>
      <c r="C87">
        <v>0.28699999999999998</v>
      </c>
      <c r="D87">
        <v>0.19800000000000001</v>
      </c>
      <c r="E87">
        <v>1</v>
      </c>
      <c r="F87" t="s">
        <v>1397</v>
      </c>
      <c r="G87" t="s">
        <v>1398</v>
      </c>
      <c r="H87" t="s">
        <v>1397</v>
      </c>
      <c r="I87" t="str">
        <f>HYPERLINK("https://zfin.org/ZDB-GENE-110411-258")</f>
        <v>https://zfin.org/ZDB-GENE-110411-258</v>
      </c>
      <c r="J87" t="s">
        <v>1396</v>
      </c>
    </row>
    <row r="88" spans="1:10" x14ac:dyDescent="0.2">
      <c r="A88">
        <v>6.9100558283725896E-2</v>
      </c>
      <c r="B88">
        <v>0.34741946570745502</v>
      </c>
      <c r="C88">
        <v>0.86099999999999999</v>
      </c>
      <c r="D88">
        <v>0.81899999999999995</v>
      </c>
      <c r="E88">
        <v>1</v>
      </c>
      <c r="F88" t="s">
        <v>219</v>
      </c>
      <c r="G88" t="s">
        <v>220</v>
      </c>
      <c r="H88" t="s">
        <v>219</v>
      </c>
      <c r="I88" t="str">
        <f>HYPERLINK("https://zfin.org/ZDB-GENE-121214-200")</f>
        <v>https://zfin.org/ZDB-GENE-121214-200</v>
      </c>
      <c r="J88" t="s">
        <v>221</v>
      </c>
    </row>
    <row r="89" spans="1:10" x14ac:dyDescent="0.2">
      <c r="A89">
        <v>7.1968494792676599E-2</v>
      </c>
      <c r="B89">
        <v>0.28268683229751901</v>
      </c>
      <c r="C89">
        <v>0.44600000000000001</v>
      </c>
      <c r="D89">
        <v>0.35299999999999998</v>
      </c>
      <c r="E89">
        <v>1</v>
      </c>
      <c r="F89" t="s">
        <v>3423</v>
      </c>
      <c r="G89" t="s">
        <v>3424</v>
      </c>
      <c r="H89" t="s">
        <v>3423</v>
      </c>
      <c r="I89" t="str">
        <f>HYPERLINK("https://zfin.org/ZDB-GENE-030131-3570")</f>
        <v>https://zfin.org/ZDB-GENE-030131-3570</v>
      </c>
      <c r="J89" t="s">
        <v>3422</v>
      </c>
    </row>
    <row r="90" spans="1:10" x14ac:dyDescent="0.2">
      <c r="A90">
        <v>7.2131773782186104E-2</v>
      </c>
      <c r="B90">
        <v>0.32209523375687199</v>
      </c>
      <c r="C90">
        <v>0.27700000000000002</v>
      </c>
      <c r="D90">
        <v>0.20699999999999999</v>
      </c>
      <c r="E90">
        <v>1</v>
      </c>
      <c r="F90" t="s">
        <v>3420</v>
      </c>
      <c r="G90" t="s">
        <v>3421</v>
      </c>
      <c r="H90" t="s">
        <v>3420</v>
      </c>
      <c r="I90" t="str">
        <f>HYPERLINK("https://zfin.org/ZDB-GENE-030131-4317")</f>
        <v>https://zfin.org/ZDB-GENE-030131-4317</v>
      </c>
      <c r="J90" t="s">
        <v>3419</v>
      </c>
    </row>
    <row r="91" spans="1:10" x14ac:dyDescent="0.2">
      <c r="A91">
        <v>7.9108833125982603E-2</v>
      </c>
      <c r="B91">
        <v>0.32069571579372202</v>
      </c>
      <c r="C91">
        <v>0.17799999999999999</v>
      </c>
      <c r="D91">
        <v>0.112</v>
      </c>
      <c r="E91">
        <v>1</v>
      </c>
      <c r="F91" t="s">
        <v>2901</v>
      </c>
      <c r="G91" t="s">
        <v>2902</v>
      </c>
      <c r="H91" t="s">
        <v>2901</v>
      </c>
      <c r="I91" t="str">
        <f>HYPERLINK("https://zfin.org/ZDB-GENE-131125-46")</f>
        <v>https://zfin.org/ZDB-GENE-131125-46</v>
      </c>
      <c r="J91" t="s">
        <v>2900</v>
      </c>
    </row>
    <row r="92" spans="1:10" x14ac:dyDescent="0.2">
      <c r="A92">
        <v>8.0221926815905606E-2</v>
      </c>
      <c r="B92">
        <v>0.25613795196341899</v>
      </c>
      <c r="C92">
        <v>0.14899999999999999</v>
      </c>
      <c r="D92">
        <v>9.0999999999999998E-2</v>
      </c>
      <c r="E92">
        <v>1</v>
      </c>
      <c r="F92" t="s">
        <v>3417</v>
      </c>
      <c r="G92" t="s">
        <v>3418</v>
      </c>
      <c r="H92" t="s">
        <v>3417</v>
      </c>
      <c r="I92" t="str">
        <f>HYPERLINK("https://zfin.org/ZDB-GENE-040426-1415")</f>
        <v>https://zfin.org/ZDB-GENE-040426-1415</v>
      </c>
      <c r="J92" t="s">
        <v>3416</v>
      </c>
    </row>
    <row r="93" spans="1:10" x14ac:dyDescent="0.2">
      <c r="A93">
        <v>8.2335680265247402E-2</v>
      </c>
      <c r="B93">
        <v>0.25533777561825899</v>
      </c>
      <c r="C93">
        <v>0.40600000000000003</v>
      </c>
      <c r="D93">
        <v>0.33600000000000002</v>
      </c>
      <c r="E93">
        <v>1</v>
      </c>
      <c r="F93" t="s">
        <v>3414</v>
      </c>
      <c r="G93" t="s">
        <v>3415</v>
      </c>
      <c r="H93" t="s">
        <v>3414</v>
      </c>
      <c r="I93" t="str">
        <f>HYPERLINK("https://zfin.org/ZDB-GENE-040426-2918")</f>
        <v>https://zfin.org/ZDB-GENE-040426-2918</v>
      </c>
      <c r="J93" t="s">
        <v>3413</v>
      </c>
    </row>
    <row r="94" spans="1:10" x14ac:dyDescent="0.2">
      <c r="A94">
        <v>9.1466293396156598E-2</v>
      </c>
      <c r="B94">
        <v>0.31827014929485897</v>
      </c>
      <c r="C94">
        <v>0.14899999999999999</v>
      </c>
      <c r="D94">
        <v>8.5999999999999993E-2</v>
      </c>
      <c r="E94">
        <v>1</v>
      </c>
      <c r="F94" t="s">
        <v>2542</v>
      </c>
      <c r="G94" t="s">
        <v>2543</v>
      </c>
      <c r="H94" t="s">
        <v>2542</v>
      </c>
      <c r="I94" t="str">
        <f>HYPERLINK("https://zfin.org/ZDB-GENE-030131-7146")</f>
        <v>https://zfin.org/ZDB-GENE-030131-7146</v>
      </c>
      <c r="J94" t="s">
        <v>2541</v>
      </c>
    </row>
    <row r="95" spans="1:10" x14ac:dyDescent="0.2">
      <c r="A95">
        <v>9.7113118734165296E-2</v>
      </c>
      <c r="B95">
        <v>0.295220775623867</v>
      </c>
      <c r="C95">
        <v>0.25700000000000001</v>
      </c>
      <c r="D95">
        <v>0.185</v>
      </c>
      <c r="E95">
        <v>1</v>
      </c>
      <c r="F95" t="s">
        <v>712</v>
      </c>
      <c r="G95" t="s">
        <v>713</v>
      </c>
      <c r="H95" t="s">
        <v>712</v>
      </c>
      <c r="I95" t="str">
        <f>HYPERLINK("https://zfin.org/ZDB-GENE-070410-90")</f>
        <v>https://zfin.org/ZDB-GENE-070410-90</v>
      </c>
      <c r="J95" t="s">
        <v>711</v>
      </c>
    </row>
    <row r="96" spans="1:10" x14ac:dyDescent="0.2">
      <c r="A96">
        <v>0.106404529717941</v>
      </c>
      <c r="B96">
        <v>0.27518577801135702</v>
      </c>
      <c r="C96">
        <v>0.28699999999999998</v>
      </c>
      <c r="D96">
        <v>0.224</v>
      </c>
      <c r="E96">
        <v>1</v>
      </c>
      <c r="F96" t="s">
        <v>3411</v>
      </c>
      <c r="G96" t="s">
        <v>3412</v>
      </c>
      <c r="H96" t="s">
        <v>3411</v>
      </c>
      <c r="I96" t="str">
        <f>HYPERLINK("https://zfin.org/ZDB-GENE-070117-2423")</f>
        <v>https://zfin.org/ZDB-GENE-070117-2423</v>
      </c>
      <c r="J96" t="s">
        <v>3410</v>
      </c>
    </row>
    <row r="97" spans="1:10" x14ac:dyDescent="0.2">
      <c r="A97">
        <v>0.10776579976568899</v>
      </c>
      <c r="B97">
        <v>0.37815726177614201</v>
      </c>
      <c r="C97">
        <v>0.248</v>
      </c>
      <c r="D97">
        <v>0.19</v>
      </c>
      <c r="E97">
        <v>1</v>
      </c>
      <c r="F97" t="s">
        <v>1827</v>
      </c>
      <c r="G97" t="s">
        <v>1828</v>
      </c>
      <c r="H97" t="s">
        <v>1827</v>
      </c>
      <c r="I97" t="str">
        <f>HYPERLINK("https://zfin.org/ZDB-GENE-041001-137")</f>
        <v>https://zfin.org/ZDB-GENE-041001-137</v>
      </c>
      <c r="J97" t="s">
        <v>1826</v>
      </c>
    </row>
    <row r="98" spans="1:10" x14ac:dyDescent="0.2">
      <c r="A98">
        <v>0.107880770388411</v>
      </c>
      <c r="B98">
        <v>0.25107510694526902</v>
      </c>
      <c r="C98">
        <v>0.129</v>
      </c>
      <c r="D98">
        <v>7.8E-2</v>
      </c>
      <c r="E98">
        <v>1</v>
      </c>
      <c r="F98" t="s">
        <v>3408</v>
      </c>
      <c r="G98" t="s">
        <v>3409</v>
      </c>
      <c r="H98" t="s">
        <v>3408</v>
      </c>
      <c r="I98" t="str">
        <f>HYPERLINK("https://zfin.org/ZDB-GENE-131127-559")</f>
        <v>https://zfin.org/ZDB-GENE-131127-559</v>
      </c>
      <c r="J98" t="s">
        <v>3407</v>
      </c>
    </row>
    <row r="99" spans="1:10" x14ac:dyDescent="0.2">
      <c r="A99">
        <v>0.129761401773998</v>
      </c>
      <c r="B99">
        <v>0.37153865080180798</v>
      </c>
      <c r="C99">
        <v>0.51500000000000001</v>
      </c>
      <c r="D99">
        <v>0.44</v>
      </c>
      <c r="E99">
        <v>1</v>
      </c>
      <c r="F99" t="s">
        <v>3405</v>
      </c>
      <c r="G99" t="s">
        <v>3406</v>
      </c>
      <c r="H99" t="s">
        <v>3405</v>
      </c>
      <c r="I99" t="str">
        <f>HYPERLINK("https://zfin.org/ZDB-GENE-040122-2")</f>
        <v>https://zfin.org/ZDB-GENE-040122-2</v>
      </c>
      <c r="J99" t="s">
        <v>3404</v>
      </c>
    </row>
    <row r="100" spans="1:10" x14ac:dyDescent="0.2">
      <c r="A100">
        <v>0.14233096945291401</v>
      </c>
      <c r="B100">
        <v>0.297872337630954</v>
      </c>
      <c r="C100">
        <v>0.22800000000000001</v>
      </c>
      <c r="D100">
        <v>0.16800000000000001</v>
      </c>
      <c r="E100">
        <v>1</v>
      </c>
      <c r="F100" t="s">
        <v>3402</v>
      </c>
      <c r="G100" t="s">
        <v>3403</v>
      </c>
      <c r="H100" t="s">
        <v>3402</v>
      </c>
      <c r="I100" t="str">
        <f>HYPERLINK("https://zfin.org/ZDB-GENE-130531-15")</f>
        <v>https://zfin.org/ZDB-GENE-130531-15</v>
      </c>
      <c r="J100" t="s">
        <v>3401</v>
      </c>
    </row>
    <row r="101" spans="1:10" x14ac:dyDescent="0.2">
      <c r="A101">
        <v>0.14367255086414199</v>
      </c>
      <c r="B101">
        <v>0.27492021025157998</v>
      </c>
      <c r="C101">
        <v>0.63400000000000001</v>
      </c>
      <c r="D101">
        <v>0.625</v>
      </c>
      <c r="E101">
        <v>1</v>
      </c>
      <c r="F101" t="s">
        <v>2452</v>
      </c>
      <c r="G101" t="s">
        <v>2453</v>
      </c>
      <c r="H101" t="s">
        <v>2452</v>
      </c>
      <c r="I101" t="str">
        <f>HYPERLINK("https://zfin.org/ZDB-GENE-030131-8247")</f>
        <v>https://zfin.org/ZDB-GENE-030131-8247</v>
      </c>
      <c r="J101" t="s">
        <v>2451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A729E-825A-ED40-9BED-E56C2EC1B744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2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5.2428446395480101E-15</v>
      </c>
      <c r="B2">
        <v>-0.93016511566618199</v>
      </c>
      <c r="C2">
        <v>0.46500000000000002</v>
      </c>
      <c r="D2">
        <v>0.85799999999999998</v>
      </c>
      <c r="E2">
        <v>8.1174963554121899E-11</v>
      </c>
      <c r="F2" t="s">
        <v>1415</v>
      </c>
      <c r="G2" t="s">
        <v>1416</v>
      </c>
      <c r="H2" t="s">
        <v>1415</v>
      </c>
      <c r="I2" t="str">
        <f>HYPERLINK("https://zfin.org/ZDB-GENE-030131-688")</f>
        <v>https://zfin.org/ZDB-GENE-030131-688</v>
      </c>
      <c r="J2" t="s">
        <v>1414</v>
      </c>
    </row>
    <row r="3" spans="1:10" x14ac:dyDescent="0.2">
      <c r="A3">
        <v>1.1834325233580899E-14</v>
      </c>
      <c r="B3">
        <v>-0.70273659214108397</v>
      </c>
      <c r="C3">
        <v>0.78200000000000003</v>
      </c>
      <c r="D3">
        <v>0.93500000000000005</v>
      </c>
      <c r="E3">
        <v>1.8323085759153301E-10</v>
      </c>
      <c r="F3" t="s">
        <v>261</v>
      </c>
      <c r="G3" t="s">
        <v>262</v>
      </c>
      <c r="H3" t="s">
        <v>261</v>
      </c>
      <c r="I3" t="str">
        <f>HYPERLINK("https://zfin.org/ZDB-GENE-030131-2159")</f>
        <v>https://zfin.org/ZDB-GENE-030131-2159</v>
      </c>
      <c r="J3" t="s">
        <v>263</v>
      </c>
    </row>
    <row r="4" spans="1:10" x14ac:dyDescent="0.2">
      <c r="A4">
        <v>1.57779562705163E-12</v>
      </c>
      <c r="B4">
        <v>-1.17416790245304</v>
      </c>
      <c r="C4">
        <v>0.307</v>
      </c>
      <c r="D4">
        <v>0.65500000000000003</v>
      </c>
      <c r="E4">
        <v>2.4429009693640299E-8</v>
      </c>
      <c r="F4" t="s">
        <v>1433</v>
      </c>
      <c r="G4" t="s">
        <v>1434</v>
      </c>
      <c r="H4" t="s">
        <v>1433</v>
      </c>
      <c r="I4" t="str">
        <f>HYPERLINK("https://zfin.org/ZDB-GENE-070720-11")</f>
        <v>https://zfin.org/ZDB-GENE-070720-11</v>
      </c>
      <c r="J4" t="s">
        <v>1432</v>
      </c>
    </row>
    <row r="5" spans="1:10" x14ac:dyDescent="0.2">
      <c r="A5">
        <v>3.5237442125368399E-12</v>
      </c>
      <c r="B5">
        <v>-0.91752130518056496</v>
      </c>
      <c r="C5">
        <v>0.158</v>
      </c>
      <c r="D5">
        <v>0.56499999999999995</v>
      </c>
      <c r="E5">
        <v>5.4558131642707898E-8</v>
      </c>
      <c r="F5" t="s">
        <v>1421</v>
      </c>
      <c r="G5" t="s">
        <v>1422</v>
      </c>
      <c r="H5" t="s">
        <v>1421</v>
      </c>
      <c r="I5" t="str">
        <f>HYPERLINK("https://zfin.org/ZDB-GENE-070705-193")</f>
        <v>https://zfin.org/ZDB-GENE-070705-193</v>
      </c>
      <c r="J5" t="s">
        <v>1420</v>
      </c>
    </row>
    <row r="6" spans="1:10" x14ac:dyDescent="0.2">
      <c r="A6">
        <v>2.85552292132516E-11</v>
      </c>
      <c r="B6">
        <v>-0.90012596659778299</v>
      </c>
      <c r="C6">
        <v>0.436</v>
      </c>
      <c r="D6">
        <v>0.75900000000000001</v>
      </c>
      <c r="E6">
        <v>4.4212061390877402E-7</v>
      </c>
      <c r="F6" t="s">
        <v>1464</v>
      </c>
      <c r="G6" t="s">
        <v>1465</v>
      </c>
      <c r="H6" t="s">
        <v>1464</v>
      </c>
      <c r="I6" t="str">
        <f>HYPERLINK("https://zfin.org/ZDB-GENE-080829-12")</f>
        <v>https://zfin.org/ZDB-GENE-080829-12</v>
      </c>
      <c r="J6" t="s">
        <v>1463</v>
      </c>
    </row>
    <row r="7" spans="1:10" x14ac:dyDescent="0.2">
      <c r="A7">
        <v>1.0981611209373701E-9</v>
      </c>
      <c r="B7">
        <v>-0.64812336818473504</v>
      </c>
      <c r="C7">
        <v>0.94099999999999995</v>
      </c>
      <c r="D7">
        <v>0.95699999999999996</v>
      </c>
      <c r="E7">
        <v>1.7002828635473302E-5</v>
      </c>
      <c r="F7" t="s">
        <v>177</v>
      </c>
      <c r="G7" t="s">
        <v>178</v>
      </c>
      <c r="H7" t="s">
        <v>177</v>
      </c>
      <c r="I7" t="str">
        <f>HYPERLINK("https://zfin.org/ZDB-GENE-111109-2")</f>
        <v>https://zfin.org/ZDB-GENE-111109-2</v>
      </c>
      <c r="J7" t="s">
        <v>179</v>
      </c>
    </row>
    <row r="8" spans="1:10" x14ac:dyDescent="0.2">
      <c r="A8">
        <v>1.89626959103046E-9</v>
      </c>
      <c r="B8">
        <v>-0.910725285993782</v>
      </c>
      <c r="C8">
        <v>0.40600000000000003</v>
      </c>
      <c r="D8">
        <v>0.71599999999999997</v>
      </c>
      <c r="E8">
        <v>2.9359942077924702E-5</v>
      </c>
      <c r="F8" t="s">
        <v>1629</v>
      </c>
      <c r="G8" t="s">
        <v>1630</v>
      </c>
      <c r="H8" t="s">
        <v>1629</v>
      </c>
      <c r="I8" t="str">
        <f>HYPERLINK("https://zfin.org/ZDB-GENE-070424-74")</f>
        <v>https://zfin.org/ZDB-GENE-070424-74</v>
      </c>
      <c r="J8" t="s">
        <v>1628</v>
      </c>
    </row>
    <row r="9" spans="1:10" x14ac:dyDescent="0.2">
      <c r="A9">
        <v>3.86244275001443E-9</v>
      </c>
      <c r="B9">
        <v>-0.754231046751482</v>
      </c>
      <c r="C9">
        <v>0.495</v>
      </c>
      <c r="D9">
        <v>0.75</v>
      </c>
      <c r="E9">
        <v>5.9802201098473398E-5</v>
      </c>
      <c r="F9" t="s">
        <v>1455</v>
      </c>
      <c r="G9" t="s">
        <v>1456</v>
      </c>
      <c r="H9" t="s">
        <v>1455</v>
      </c>
      <c r="I9" t="str">
        <f>HYPERLINK("https://zfin.org/")</f>
        <v>https://zfin.org/</v>
      </c>
    </row>
    <row r="10" spans="1:10" x14ac:dyDescent="0.2">
      <c r="A10">
        <v>1.19577352958021E-8</v>
      </c>
      <c r="B10">
        <v>-0.52955043823187398</v>
      </c>
      <c r="C10">
        <v>0.81200000000000006</v>
      </c>
      <c r="D10">
        <v>0.90900000000000003</v>
      </c>
      <c r="E10">
        <v>1.8514161558490401E-4</v>
      </c>
      <c r="F10" t="s">
        <v>2024</v>
      </c>
      <c r="G10" t="s">
        <v>2025</v>
      </c>
      <c r="H10" t="s">
        <v>2024</v>
      </c>
      <c r="I10" t="str">
        <f>HYPERLINK("https://zfin.org/ZDB-GENE-030411-5")</f>
        <v>https://zfin.org/ZDB-GENE-030411-5</v>
      </c>
      <c r="J10" t="s">
        <v>2023</v>
      </c>
    </row>
    <row r="11" spans="1:10" x14ac:dyDescent="0.2">
      <c r="A11">
        <v>1.6972998515131599E-8</v>
      </c>
      <c r="B11">
        <v>-0.64121626018392097</v>
      </c>
      <c r="C11">
        <v>0.98</v>
      </c>
      <c r="D11">
        <v>0.97399999999999998</v>
      </c>
      <c r="E11">
        <v>2.62792936009783E-4</v>
      </c>
      <c r="F11" t="s">
        <v>1485</v>
      </c>
      <c r="G11" t="s">
        <v>1486</v>
      </c>
      <c r="H11" t="s">
        <v>1485</v>
      </c>
      <c r="I11" t="str">
        <f>HYPERLINK("https://zfin.org/ZDB-GENE-070705-532")</f>
        <v>https://zfin.org/ZDB-GENE-070705-532</v>
      </c>
      <c r="J11" t="s">
        <v>1484</v>
      </c>
    </row>
    <row r="12" spans="1:10" x14ac:dyDescent="0.2">
      <c r="A12">
        <v>3.6886792595911201E-8</v>
      </c>
      <c r="B12">
        <v>-0.50198955335185502</v>
      </c>
      <c r="C12">
        <v>0.79200000000000004</v>
      </c>
      <c r="D12">
        <v>0.89200000000000002</v>
      </c>
      <c r="E12">
        <v>5.7111820976249298E-4</v>
      </c>
      <c r="F12" t="s">
        <v>306</v>
      </c>
      <c r="G12" t="s">
        <v>307</v>
      </c>
      <c r="H12" t="s">
        <v>306</v>
      </c>
      <c r="I12" t="str">
        <f>HYPERLINK("https://zfin.org/ZDB-GENE-141215-49")</f>
        <v>https://zfin.org/ZDB-GENE-141215-49</v>
      </c>
      <c r="J12" t="s">
        <v>308</v>
      </c>
    </row>
    <row r="13" spans="1:10" x14ac:dyDescent="0.2">
      <c r="A13">
        <v>6.3547503036621805E-8</v>
      </c>
      <c r="B13">
        <v>-0.60863719078795697</v>
      </c>
      <c r="C13">
        <v>0.66300000000000003</v>
      </c>
      <c r="D13">
        <v>0.84499999999999997</v>
      </c>
      <c r="E13">
        <v>9.8390598951601598E-4</v>
      </c>
      <c r="F13" t="s">
        <v>1482</v>
      </c>
      <c r="G13" t="s">
        <v>1483</v>
      </c>
      <c r="H13" t="s">
        <v>1482</v>
      </c>
      <c r="I13" t="str">
        <f>HYPERLINK("https://zfin.org/ZDB-GENE-040426-2826")</f>
        <v>https://zfin.org/ZDB-GENE-040426-2826</v>
      </c>
      <c r="J13" t="s">
        <v>1481</v>
      </c>
    </row>
    <row r="14" spans="1:10" x14ac:dyDescent="0.2">
      <c r="A14">
        <v>4.7417661582199098E-7</v>
      </c>
      <c r="B14">
        <v>-0.87124811879564401</v>
      </c>
      <c r="C14">
        <v>0.04</v>
      </c>
      <c r="D14">
        <v>0.28000000000000003</v>
      </c>
      <c r="E14">
        <v>7.34167654277189E-3</v>
      </c>
      <c r="F14" t="s">
        <v>2449</v>
      </c>
      <c r="G14" t="s">
        <v>2450</v>
      </c>
      <c r="H14" t="s">
        <v>2449</v>
      </c>
      <c r="I14" t="str">
        <f>HYPERLINK("https://zfin.org/ZDB-GENE-980526-112")</f>
        <v>https://zfin.org/ZDB-GENE-980526-112</v>
      </c>
      <c r="J14" t="s">
        <v>2448</v>
      </c>
    </row>
    <row r="15" spans="1:10" x14ac:dyDescent="0.2">
      <c r="A15">
        <v>2.5833981705258699E-6</v>
      </c>
      <c r="B15">
        <v>-0.364120671045917</v>
      </c>
      <c r="C15">
        <v>0.92100000000000004</v>
      </c>
      <c r="D15">
        <v>0.95699999999999996</v>
      </c>
      <c r="E15">
        <v>3.9998753874252002E-2</v>
      </c>
      <c r="F15" t="s">
        <v>73</v>
      </c>
      <c r="G15" t="s">
        <v>74</v>
      </c>
      <c r="H15" t="s">
        <v>73</v>
      </c>
      <c r="I15" t="str">
        <f>HYPERLINK("https://zfin.org/ZDB-GENE-050522-73")</f>
        <v>https://zfin.org/ZDB-GENE-050522-73</v>
      </c>
      <c r="J15" t="s">
        <v>75</v>
      </c>
    </row>
    <row r="16" spans="1:10" x14ac:dyDescent="0.2">
      <c r="A16">
        <v>2.7193763807450202E-6</v>
      </c>
      <c r="B16">
        <v>-0.57850606323307996</v>
      </c>
      <c r="C16">
        <v>0.39600000000000002</v>
      </c>
      <c r="D16">
        <v>0.65100000000000002</v>
      </c>
      <c r="E16">
        <v>4.2104104503075099E-2</v>
      </c>
      <c r="F16" t="s">
        <v>1683</v>
      </c>
      <c r="G16" t="s">
        <v>1684</v>
      </c>
      <c r="H16" t="s">
        <v>1683</v>
      </c>
      <c r="I16" t="str">
        <f>HYPERLINK("https://zfin.org/ZDB-GENE-030411-6")</f>
        <v>https://zfin.org/ZDB-GENE-030411-6</v>
      </c>
      <c r="J16" t="s">
        <v>1682</v>
      </c>
    </row>
    <row r="17" spans="1:10" x14ac:dyDescent="0.2">
      <c r="A17">
        <v>3.9772776976499901E-6</v>
      </c>
      <c r="B17">
        <v>-0.77430666380701996</v>
      </c>
      <c r="C17">
        <v>0.22800000000000001</v>
      </c>
      <c r="D17">
        <v>0.5</v>
      </c>
      <c r="E17">
        <v>6.1580190592714801E-2</v>
      </c>
      <c r="F17" t="s">
        <v>1352</v>
      </c>
      <c r="G17" t="s">
        <v>1353</v>
      </c>
      <c r="H17" t="s">
        <v>1352</v>
      </c>
      <c r="I17" t="str">
        <f>HYPERLINK("https://zfin.org/ZDB-GENE-091204-19")</f>
        <v>https://zfin.org/ZDB-GENE-091204-19</v>
      </c>
      <c r="J17" t="s">
        <v>1351</v>
      </c>
    </row>
    <row r="18" spans="1:10" x14ac:dyDescent="0.2">
      <c r="A18">
        <v>3.99079431251222E-6</v>
      </c>
      <c r="B18">
        <v>-0.73505017942597095</v>
      </c>
      <c r="C18">
        <v>0.17799999999999999</v>
      </c>
      <c r="D18">
        <v>0.42199999999999999</v>
      </c>
      <c r="E18">
        <v>6.1789468340626798E-2</v>
      </c>
      <c r="F18" t="s">
        <v>1340</v>
      </c>
      <c r="G18" t="s">
        <v>1341</v>
      </c>
      <c r="H18" t="s">
        <v>1340</v>
      </c>
      <c r="I18" t="str">
        <f>HYPERLINK("https://zfin.org/ZDB-GENE-131121-141")</f>
        <v>https://zfin.org/ZDB-GENE-131121-141</v>
      </c>
      <c r="J18" t="s">
        <v>1339</v>
      </c>
    </row>
    <row r="19" spans="1:10" x14ac:dyDescent="0.2">
      <c r="A19">
        <v>7.2792395119091802E-6</v>
      </c>
      <c r="B19">
        <v>-0.62264746039729901</v>
      </c>
      <c r="C19">
        <v>0.34699999999999998</v>
      </c>
      <c r="D19">
        <v>0.59499999999999997</v>
      </c>
      <c r="E19">
        <v>0.11270446536289</v>
      </c>
      <c r="F19" t="s">
        <v>1382</v>
      </c>
      <c r="G19" t="s">
        <v>1383</v>
      </c>
      <c r="H19" t="s">
        <v>1382</v>
      </c>
      <c r="I19" t="str">
        <f>HYPERLINK("https://zfin.org/ZDB-GENE-060929-568")</f>
        <v>https://zfin.org/ZDB-GENE-060929-568</v>
      </c>
      <c r="J19" t="s">
        <v>1381</v>
      </c>
    </row>
    <row r="20" spans="1:10" x14ac:dyDescent="0.2">
      <c r="A20">
        <v>1.4174803507737E-5</v>
      </c>
      <c r="B20">
        <v>-0.69242236699072202</v>
      </c>
      <c r="C20">
        <v>0.109</v>
      </c>
      <c r="D20">
        <v>0.33600000000000002</v>
      </c>
      <c r="E20">
        <v>0.21946848271029301</v>
      </c>
      <c r="F20" t="s">
        <v>1307</v>
      </c>
      <c r="G20" t="s">
        <v>1308</v>
      </c>
      <c r="H20" t="s">
        <v>1307</v>
      </c>
      <c r="I20" t="str">
        <f>HYPERLINK("https://zfin.org/ZDB-GENE-040801-218")</f>
        <v>https://zfin.org/ZDB-GENE-040801-218</v>
      </c>
      <c r="J20" t="s">
        <v>1306</v>
      </c>
    </row>
    <row r="21" spans="1:10" x14ac:dyDescent="0.2">
      <c r="A21">
        <v>1.97698431906111E-5</v>
      </c>
      <c r="B21">
        <v>-0.60987738325934304</v>
      </c>
      <c r="C21">
        <v>0.248</v>
      </c>
      <c r="D21">
        <v>0.5</v>
      </c>
      <c r="E21">
        <v>0.30609648212023199</v>
      </c>
      <c r="F21" t="s">
        <v>2371</v>
      </c>
      <c r="G21" t="s">
        <v>2372</v>
      </c>
      <c r="H21" t="s">
        <v>2371</v>
      </c>
      <c r="I21" t="str">
        <f>HYPERLINK("https://zfin.org/ZDB-GENE-100922-65")</f>
        <v>https://zfin.org/ZDB-GENE-100922-65</v>
      </c>
      <c r="J21" t="s">
        <v>2370</v>
      </c>
    </row>
    <row r="22" spans="1:10" x14ac:dyDescent="0.2">
      <c r="A22">
        <v>2.1559440451517701E-5</v>
      </c>
      <c r="B22">
        <v>-0.54224220108915699</v>
      </c>
      <c r="C22">
        <v>0.54500000000000004</v>
      </c>
      <c r="D22">
        <v>0.72799999999999998</v>
      </c>
      <c r="E22">
        <v>0.33380481651084798</v>
      </c>
      <c r="F22" t="s">
        <v>103</v>
      </c>
      <c r="G22" t="s">
        <v>104</v>
      </c>
      <c r="H22" t="s">
        <v>103</v>
      </c>
      <c r="I22" t="str">
        <f>HYPERLINK("https://zfin.org/ZDB-GENE-041121-18")</f>
        <v>https://zfin.org/ZDB-GENE-041121-18</v>
      </c>
      <c r="J22" t="s">
        <v>105</v>
      </c>
    </row>
    <row r="23" spans="1:10" x14ac:dyDescent="0.2">
      <c r="A23">
        <v>2.3122872383226002E-5</v>
      </c>
      <c r="B23">
        <v>-0.25056824587111198</v>
      </c>
      <c r="C23">
        <v>0.99</v>
      </c>
      <c r="D23">
        <v>1</v>
      </c>
      <c r="E23">
        <v>0.35801143310948802</v>
      </c>
      <c r="F23" t="s">
        <v>52</v>
      </c>
      <c r="G23" t="s">
        <v>53</v>
      </c>
      <c r="H23" t="s">
        <v>52</v>
      </c>
      <c r="I23" t="str">
        <f>HYPERLINK("https://zfin.org/ZDB-GENE-040426-1508")</f>
        <v>https://zfin.org/ZDB-GENE-040426-1508</v>
      </c>
      <c r="J23" t="s">
        <v>54</v>
      </c>
    </row>
    <row r="24" spans="1:10" x14ac:dyDescent="0.2">
      <c r="A24">
        <v>5.2372997371885302E-5</v>
      </c>
      <c r="B24">
        <v>-0.43504761706886602</v>
      </c>
      <c r="C24">
        <v>0.53500000000000003</v>
      </c>
      <c r="D24">
        <v>0.69399999999999995</v>
      </c>
      <c r="E24">
        <v>0.81089111830890004</v>
      </c>
      <c r="F24" t="s">
        <v>264</v>
      </c>
      <c r="G24" t="s">
        <v>265</v>
      </c>
      <c r="H24" t="s">
        <v>264</v>
      </c>
      <c r="I24" t="str">
        <f>HYPERLINK("https://zfin.org/ZDB-GENE-050320-109")</f>
        <v>https://zfin.org/ZDB-GENE-050320-109</v>
      </c>
      <c r="J24" t="s">
        <v>266</v>
      </c>
    </row>
    <row r="25" spans="1:10" x14ac:dyDescent="0.2">
      <c r="A25">
        <v>6.9229911402637602E-5</v>
      </c>
      <c r="B25">
        <v>-0.48756477647977498</v>
      </c>
      <c r="C25">
        <v>0</v>
      </c>
      <c r="D25">
        <v>0.14199999999999999</v>
      </c>
      <c r="E25">
        <v>1</v>
      </c>
      <c r="F25" t="s">
        <v>2364</v>
      </c>
      <c r="G25" t="s">
        <v>2365</v>
      </c>
      <c r="H25" t="s">
        <v>2364</v>
      </c>
      <c r="I25" t="str">
        <f>HYPERLINK("https://zfin.org/ZDB-GENE-090406-1")</f>
        <v>https://zfin.org/ZDB-GENE-090406-1</v>
      </c>
      <c r="J25" t="s">
        <v>2363</v>
      </c>
    </row>
    <row r="26" spans="1:10" x14ac:dyDescent="0.2">
      <c r="A26">
        <v>7.02722488313375E-5</v>
      </c>
      <c r="B26">
        <v>-0.77955357100223799</v>
      </c>
      <c r="C26">
        <v>0.16800000000000001</v>
      </c>
      <c r="D26">
        <v>0.379</v>
      </c>
      <c r="E26">
        <v>1</v>
      </c>
      <c r="F26" t="s">
        <v>1391</v>
      </c>
      <c r="G26" t="s">
        <v>1392</v>
      </c>
      <c r="H26" t="s">
        <v>1391</v>
      </c>
      <c r="I26" t="str">
        <f>HYPERLINK("https://zfin.org/ZDB-GENE-040426-1430")</f>
        <v>https://zfin.org/ZDB-GENE-040426-1430</v>
      </c>
      <c r="J26" t="s">
        <v>1390</v>
      </c>
    </row>
    <row r="27" spans="1:10" x14ac:dyDescent="0.2">
      <c r="A27">
        <v>7.2960526682596197E-5</v>
      </c>
      <c r="B27">
        <v>-0.52898172327510495</v>
      </c>
      <c r="C27">
        <v>0.80200000000000005</v>
      </c>
      <c r="D27">
        <v>0.90500000000000003</v>
      </c>
      <c r="E27">
        <v>1</v>
      </c>
      <c r="F27" t="s">
        <v>100</v>
      </c>
      <c r="G27" t="s">
        <v>101</v>
      </c>
      <c r="H27" t="s">
        <v>100</v>
      </c>
      <c r="I27" t="str">
        <f>HYPERLINK("https://zfin.org/ZDB-GENE-030131-12")</f>
        <v>https://zfin.org/ZDB-GENE-030131-12</v>
      </c>
      <c r="J27" t="s">
        <v>102</v>
      </c>
    </row>
    <row r="28" spans="1:10" x14ac:dyDescent="0.2">
      <c r="A28">
        <v>8.8655557201253301E-5</v>
      </c>
      <c r="B28">
        <v>-0.47499933564715502</v>
      </c>
      <c r="C28">
        <v>0.03</v>
      </c>
      <c r="D28">
        <v>0.19800000000000001</v>
      </c>
      <c r="E28">
        <v>1</v>
      </c>
      <c r="F28" t="s">
        <v>2425</v>
      </c>
      <c r="G28" t="s">
        <v>2426</v>
      </c>
      <c r="H28" t="s">
        <v>2425</v>
      </c>
      <c r="I28" t="str">
        <f>HYPERLINK("https://zfin.org/ZDB-GENE-070820-6")</f>
        <v>https://zfin.org/ZDB-GENE-070820-6</v>
      </c>
      <c r="J28" t="s">
        <v>2424</v>
      </c>
    </row>
    <row r="29" spans="1:10" x14ac:dyDescent="0.2">
      <c r="A29">
        <v>9.4613331258567503E-5</v>
      </c>
      <c r="B29">
        <v>-0.468957099262786</v>
      </c>
      <c r="C29">
        <v>8.8999999999999996E-2</v>
      </c>
      <c r="D29">
        <v>0.28899999999999998</v>
      </c>
      <c r="E29">
        <v>1</v>
      </c>
      <c r="F29" t="s">
        <v>2443</v>
      </c>
      <c r="G29" t="s">
        <v>2444</v>
      </c>
      <c r="H29" t="s">
        <v>2443</v>
      </c>
      <c r="I29" t="str">
        <f>HYPERLINK("https://zfin.org/ZDB-GENE-100921-8")</f>
        <v>https://zfin.org/ZDB-GENE-100921-8</v>
      </c>
      <c r="J29" t="s">
        <v>2442</v>
      </c>
    </row>
    <row r="30" spans="1:10" x14ac:dyDescent="0.2">
      <c r="A30">
        <v>1.2212938979047199E-4</v>
      </c>
      <c r="B30">
        <v>-0.439767450338095</v>
      </c>
      <c r="C30">
        <v>0.40600000000000003</v>
      </c>
      <c r="D30">
        <v>0.63800000000000001</v>
      </c>
      <c r="E30">
        <v>1</v>
      </c>
      <c r="F30" t="s">
        <v>1436</v>
      </c>
      <c r="G30" t="s">
        <v>1437</v>
      </c>
      <c r="H30" t="s">
        <v>1436</v>
      </c>
      <c r="I30" t="str">
        <f>HYPERLINK("https://zfin.org/ZDB-GENE-070112-292")</f>
        <v>https://zfin.org/ZDB-GENE-070112-292</v>
      </c>
      <c r="J30" t="s">
        <v>1435</v>
      </c>
    </row>
    <row r="31" spans="1:10" x14ac:dyDescent="0.2">
      <c r="A31">
        <v>1.3130736772437501E-4</v>
      </c>
      <c r="B31">
        <v>-0.54617796605831304</v>
      </c>
      <c r="C31">
        <v>0.27700000000000002</v>
      </c>
      <c r="D31">
        <v>0.48699999999999999</v>
      </c>
      <c r="E31">
        <v>1</v>
      </c>
      <c r="F31" t="s">
        <v>1451</v>
      </c>
      <c r="G31" t="s">
        <v>1452</v>
      </c>
      <c r="H31" t="s">
        <v>1451</v>
      </c>
      <c r="I31" t="str">
        <f>HYPERLINK("https://zfin.org/ZDB-GENE-001212-5")</f>
        <v>https://zfin.org/ZDB-GENE-001212-5</v>
      </c>
      <c r="J31" t="s">
        <v>1450</v>
      </c>
    </row>
    <row r="32" spans="1:10" x14ac:dyDescent="0.2">
      <c r="A32">
        <v>1.4898555582969301E-4</v>
      </c>
      <c r="B32">
        <v>-0.43527549965141898</v>
      </c>
      <c r="C32">
        <v>0.218</v>
      </c>
      <c r="D32">
        <v>0.44</v>
      </c>
      <c r="E32">
        <v>1</v>
      </c>
      <c r="F32" t="s">
        <v>2413</v>
      </c>
      <c r="G32" t="s">
        <v>2414</v>
      </c>
      <c r="H32" t="s">
        <v>2413</v>
      </c>
      <c r="I32" t="str">
        <f>HYPERLINK("https://zfin.org/ZDB-GENE-040801-58")</f>
        <v>https://zfin.org/ZDB-GENE-040801-58</v>
      </c>
      <c r="J32" t="s">
        <v>2412</v>
      </c>
    </row>
    <row r="33" spans="1:10" x14ac:dyDescent="0.2">
      <c r="A33">
        <v>1.8542659120231501E-4</v>
      </c>
      <c r="B33">
        <v>-0.45116130612613098</v>
      </c>
      <c r="C33">
        <v>0.02</v>
      </c>
      <c r="D33">
        <v>0.16800000000000001</v>
      </c>
      <c r="E33">
        <v>1</v>
      </c>
      <c r="F33" t="s">
        <v>2434</v>
      </c>
      <c r="G33" t="s">
        <v>2435</v>
      </c>
      <c r="H33" t="s">
        <v>2434</v>
      </c>
      <c r="I33" t="str">
        <f>HYPERLINK("https://zfin.org/ZDB-GENE-090313-161")</f>
        <v>https://zfin.org/ZDB-GENE-090313-161</v>
      </c>
      <c r="J33" t="s">
        <v>2433</v>
      </c>
    </row>
    <row r="34" spans="1:10" x14ac:dyDescent="0.2">
      <c r="A34">
        <v>2.21045795171202E-4</v>
      </c>
      <c r="B34">
        <v>-0.32668818753880102</v>
      </c>
      <c r="C34">
        <v>0.83199999999999996</v>
      </c>
      <c r="D34">
        <v>0.88400000000000001</v>
      </c>
      <c r="E34">
        <v>1</v>
      </c>
      <c r="F34" t="s">
        <v>2018</v>
      </c>
      <c r="G34" t="s">
        <v>2019</v>
      </c>
      <c r="H34" t="s">
        <v>2018</v>
      </c>
      <c r="I34" t="str">
        <f>HYPERLINK("https://zfin.org/ZDB-GENE-000607-83")</f>
        <v>https://zfin.org/ZDB-GENE-000607-83</v>
      </c>
      <c r="J34" t="s">
        <v>2017</v>
      </c>
    </row>
    <row r="35" spans="1:10" x14ac:dyDescent="0.2">
      <c r="A35">
        <v>2.6141106366277299E-4</v>
      </c>
      <c r="B35">
        <v>-0.42629501113895002</v>
      </c>
      <c r="C35">
        <v>7.9000000000000001E-2</v>
      </c>
      <c r="D35">
        <v>0.25900000000000001</v>
      </c>
      <c r="E35">
        <v>1</v>
      </c>
      <c r="F35" t="s">
        <v>2440</v>
      </c>
      <c r="G35" t="s">
        <v>2441</v>
      </c>
      <c r="H35" t="s">
        <v>2440</v>
      </c>
      <c r="I35" t="str">
        <f>HYPERLINK("https://zfin.org/ZDB-GENE-050417-409")</f>
        <v>https://zfin.org/ZDB-GENE-050417-409</v>
      </c>
      <c r="J35" t="s">
        <v>2439</v>
      </c>
    </row>
    <row r="36" spans="1:10" x14ac:dyDescent="0.2">
      <c r="A36">
        <v>8.0839750277428095E-4</v>
      </c>
      <c r="B36">
        <v>-0.71326361179675002</v>
      </c>
      <c r="C36">
        <v>0.59399999999999997</v>
      </c>
      <c r="D36">
        <v>0.73299999999999998</v>
      </c>
      <c r="E36">
        <v>1</v>
      </c>
      <c r="F36" t="s">
        <v>1166</v>
      </c>
      <c r="G36" t="s">
        <v>1167</v>
      </c>
      <c r="H36" t="s">
        <v>1166</v>
      </c>
      <c r="I36" t="str">
        <f>HYPERLINK("https://zfin.org/")</f>
        <v>https://zfin.org/</v>
      </c>
    </row>
    <row r="37" spans="1:10" x14ac:dyDescent="0.2">
      <c r="A37">
        <v>8.5075147382953004E-4</v>
      </c>
      <c r="B37">
        <v>-0.42592955672660998</v>
      </c>
      <c r="C37">
        <v>0.02</v>
      </c>
      <c r="D37">
        <v>0.13800000000000001</v>
      </c>
      <c r="E37">
        <v>1</v>
      </c>
      <c r="F37" t="s">
        <v>2386</v>
      </c>
      <c r="G37" t="s">
        <v>2387</v>
      </c>
      <c r="H37" t="s">
        <v>2386</v>
      </c>
      <c r="I37" t="str">
        <f>HYPERLINK("https://zfin.org/ZDB-GENE-030131-4218")</f>
        <v>https://zfin.org/ZDB-GENE-030131-4218</v>
      </c>
      <c r="J37" t="s">
        <v>2385</v>
      </c>
    </row>
    <row r="38" spans="1:10" x14ac:dyDescent="0.2">
      <c r="A38">
        <v>1.2693310579723999E-3</v>
      </c>
      <c r="B38">
        <v>-0.292538416123309</v>
      </c>
      <c r="C38">
        <v>0.47499999999999998</v>
      </c>
      <c r="D38">
        <v>0.64700000000000002</v>
      </c>
      <c r="E38">
        <v>1</v>
      </c>
      <c r="F38" t="s">
        <v>1316</v>
      </c>
      <c r="G38" t="s">
        <v>1317</v>
      </c>
      <c r="H38" t="s">
        <v>1316</v>
      </c>
      <c r="I38" t="str">
        <f>HYPERLINK("https://zfin.org/ZDB-GENE-090915-6")</f>
        <v>https://zfin.org/ZDB-GENE-090915-6</v>
      </c>
      <c r="J38" t="s">
        <v>1315</v>
      </c>
    </row>
    <row r="39" spans="1:10" x14ac:dyDescent="0.2">
      <c r="A39">
        <v>1.3281769944896199E-3</v>
      </c>
      <c r="B39">
        <v>-0.29065304879251302</v>
      </c>
      <c r="C39">
        <v>0.04</v>
      </c>
      <c r="D39">
        <v>0.17199999999999999</v>
      </c>
      <c r="E39">
        <v>1</v>
      </c>
      <c r="F39" t="s">
        <v>3658</v>
      </c>
      <c r="G39" t="s">
        <v>3659</v>
      </c>
      <c r="H39" t="s">
        <v>3658</v>
      </c>
      <c r="I39" t="str">
        <f>HYPERLINK("https://zfin.org/ZDB-GENE-050506-146")</f>
        <v>https://zfin.org/ZDB-GENE-050506-146</v>
      </c>
      <c r="J39" t="s">
        <v>3657</v>
      </c>
    </row>
    <row r="40" spans="1:10" x14ac:dyDescent="0.2">
      <c r="A40">
        <v>1.44523341445031E-3</v>
      </c>
      <c r="B40">
        <v>-0.532727567506459</v>
      </c>
      <c r="C40">
        <v>0.129</v>
      </c>
      <c r="D40">
        <v>0.28000000000000003</v>
      </c>
      <c r="E40">
        <v>1</v>
      </c>
      <c r="F40" t="s">
        <v>2689</v>
      </c>
      <c r="G40" t="s">
        <v>2690</v>
      </c>
      <c r="H40" t="s">
        <v>2689</v>
      </c>
      <c r="I40" t="str">
        <f>HYPERLINK("https://zfin.org/ZDB-GENE-040426-2609")</f>
        <v>https://zfin.org/ZDB-GENE-040426-2609</v>
      </c>
      <c r="J40" t="s">
        <v>2688</v>
      </c>
    </row>
    <row r="41" spans="1:10" x14ac:dyDescent="0.2">
      <c r="A41">
        <v>1.54724598102918E-3</v>
      </c>
      <c r="B41">
        <v>-0.28902026691156801</v>
      </c>
      <c r="C41">
        <v>0.39600000000000002</v>
      </c>
      <c r="D41">
        <v>0.55600000000000005</v>
      </c>
      <c r="E41">
        <v>1</v>
      </c>
      <c r="F41" t="s">
        <v>2015</v>
      </c>
      <c r="G41" t="s">
        <v>2016</v>
      </c>
      <c r="H41" t="s">
        <v>2015</v>
      </c>
      <c r="I41" t="str">
        <f>HYPERLINK("https://zfin.org/ZDB-GENE-030131-2415")</f>
        <v>https://zfin.org/ZDB-GENE-030131-2415</v>
      </c>
      <c r="J41" t="s">
        <v>2014</v>
      </c>
    </row>
    <row r="42" spans="1:10" x14ac:dyDescent="0.2">
      <c r="A42">
        <v>1.56947849275049E-3</v>
      </c>
      <c r="B42">
        <v>-0.34871545447158198</v>
      </c>
      <c r="C42">
        <v>0.03</v>
      </c>
      <c r="D42">
        <v>0.151</v>
      </c>
      <c r="E42">
        <v>1</v>
      </c>
      <c r="F42" t="s">
        <v>3655</v>
      </c>
      <c r="G42" t="s">
        <v>3656</v>
      </c>
      <c r="H42" t="s">
        <v>3655</v>
      </c>
      <c r="I42" t="str">
        <f>HYPERLINK("https://zfin.org/ZDB-GENE-070410-8")</f>
        <v>https://zfin.org/ZDB-GENE-070410-8</v>
      </c>
      <c r="J42" t="s">
        <v>3654</v>
      </c>
    </row>
    <row r="43" spans="1:10" x14ac:dyDescent="0.2">
      <c r="A43">
        <v>1.70658788644044E-3</v>
      </c>
      <c r="B43">
        <v>-0.29869922941363602</v>
      </c>
      <c r="C43">
        <v>6.9000000000000006E-2</v>
      </c>
      <c r="D43">
        <v>0.216</v>
      </c>
      <c r="E43">
        <v>1</v>
      </c>
      <c r="F43" t="s">
        <v>2437</v>
      </c>
      <c r="G43" t="s">
        <v>2438</v>
      </c>
      <c r="H43" t="s">
        <v>2437</v>
      </c>
      <c r="I43" t="str">
        <f>HYPERLINK("https://zfin.org/ZDB-GENE-080215-10")</f>
        <v>https://zfin.org/ZDB-GENE-080215-10</v>
      </c>
      <c r="J43" t="s">
        <v>2436</v>
      </c>
    </row>
    <row r="44" spans="1:10" x14ac:dyDescent="0.2">
      <c r="A44">
        <v>1.8931480712999901E-3</v>
      </c>
      <c r="B44">
        <v>-0.39933649336643201</v>
      </c>
      <c r="C44">
        <v>0.109</v>
      </c>
      <c r="D44">
        <v>0.26300000000000001</v>
      </c>
      <c r="E44">
        <v>1</v>
      </c>
      <c r="F44" t="s">
        <v>2820</v>
      </c>
      <c r="G44" t="s">
        <v>2821</v>
      </c>
      <c r="H44" t="s">
        <v>2820</v>
      </c>
      <c r="I44" t="str">
        <f>HYPERLINK("https://zfin.org/ZDB-GENE-030516-3")</f>
        <v>https://zfin.org/ZDB-GENE-030516-3</v>
      </c>
      <c r="J44" t="s">
        <v>2819</v>
      </c>
    </row>
    <row r="45" spans="1:10" x14ac:dyDescent="0.2">
      <c r="A45">
        <v>2.0818816091540799E-3</v>
      </c>
      <c r="B45">
        <v>-0.25734933768889401</v>
      </c>
      <c r="C45">
        <v>0.61399999999999999</v>
      </c>
      <c r="D45">
        <v>0.72799999999999998</v>
      </c>
      <c r="E45">
        <v>1</v>
      </c>
      <c r="F45" t="s">
        <v>1677</v>
      </c>
      <c r="G45" t="s">
        <v>1678</v>
      </c>
      <c r="H45" t="s">
        <v>1677</v>
      </c>
      <c r="I45" t="str">
        <f>HYPERLINK("https://zfin.org/ZDB-GENE-080204-124")</f>
        <v>https://zfin.org/ZDB-GENE-080204-124</v>
      </c>
      <c r="J45" t="s">
        <v>1676</v>
      </c>
    </row>
    <row r="46" spans="1:10" x14ac:dyDescent="0.2">
      <c r="A46">
        <v>2.1729098954653202E-3</v>
      </c>
      <c r="B46">
        <v>-0.32844891246834101</v>
      </c>
      <c r="C46">
        <v>0.436</v>
      </c>
      <c r="D46">
        <v>0.60799999999999998</v>
      </c>
      <c r="E46">
        <v>1</v>
      </c>
      <c r="F46" t="s">
        <v>2006</v>
      </c>
      <c r="G46" t="s">
        <v>2007</v>
      </c>
      <c r="H46" t="s">
        <v>2006</v>
      </c>
      <c r="I46" t="str">
        <f>HYPERLINK("https://zfin.org/ZDB-GENE-040718-175")</f>
        <v>https://zfin.org/ZDB-GENE-040718-175</v>
      </c>
      <c r="J46" t="s">
        <v>2005</v>
      </c>
    </row>
    <row r="47" spans="1:10" x14ac:dyDescent="0.2">
      <c r="A47">
        <v>2.2676272477562E-3</v>
      </c>
      <c r="B47">
        <v>-0.59831167049068101</v>
      </c>
      <c r="C47">
        <v>0.27700000000000002</v>
      </c>
      <c r="D47">
        <v>0.41799999999999998</v>
      </c>
      <c r="E47">
        <v>1</v>
      </c>
      <c r="F47" t="s">
        <v>2003</v>
      </c>
      <c r="G47" t="s">
        <v>2004</v>
      </c>
      <c r="H47" t="s">
        <v>2003</v>
      </c>
      <c r="I47" t="str">
        <f>HYPERLINK("https://zfin.org/ZDB-GENE-070119-3")</f>
        <v>https://zfin.org/ZDB-GENE-070119-3</v>
      </c>
      <c r="J47" t="s">
        <v>2002</v>
      </c>
    </row>
    <row r="48" spans="1:10" x14ac:dyDescent="0.2">
      <c r="A48">
        <v>2.4165870658096702E-3</v>
      </c>
      <c r="B48">
        <v>-0.38075114813993599</v>
      </c>
      <c r="C48">
        <v>0.03</v>
      </c>
      <c r="D48">
        <v>0.14199999999999999</v>
      </c>
      <c r="E48">
        <v>1</v>
      </c>
      <c r="F48" t="s">
        <v>3652</v>
      </c>
      <c r="G48" t="s">
        <v>3653</v>
      </c>
      <c r="H48" t="s">
        <v>3652</v>
      </c>
      <c r="I48" t="str">
        <f>HYPERLINK("https://zfin.org/ZDB-GENE-030131-1280")</f>
        <v>https://zfin.org/ZDB-GENE-030131-1280</v>
      </c>
      <c r="J48" t="s">
        <v>3651</v>
      </c>
    </row>
    <row r="49" spans="1:10" x14ac:dyDescent="0.2">
      <c r="A49">
        <v>2.4667653315477E-3</v>
      </c>
      <c r="B49">
        <v>-0.30908991191010299</v>
      </c>
      <c r="C49">
        <v>0.52500000000000002</v>
      </c>
      <c r="D49">
        <v>0.68100000000000005</v>
      </c>
      <c r="E49">
        <v>1</v>
      </c>
      <c r="F49" t="s">
        <v>3048</v>
      </c>
      <c r="G49" t="s">
        <v>3049</v>
      </c>
      <c r="H49" t="s">
        <v>3048</v>
      </c>
      <c r="I49" t="str">
        <f>HYPERLINK("https://zfin.org/ZDB-GENE-030521-13")</f>
        <v>https://zfin.org/ZDB-GENE-030521-13</v>
      </c>
      <c r="J49" t="s">
        <v>3047</v>
      </c>
    </row>
    <row r="50" spans="1:10" x14ac:dyDescent="0.2">
      <c r="A50">
        <v>2.4672872188675299E-3</v>
      </c>
      <c r="B50">
        <v>-0.448757594268481</v>
      </c>
      <c r="C50">
        <v>0.16800000000000001</v>
      </c>
      <c r="D50">
        <v>0.32300000000000001</v>
      </c>
      <c r="E50">
        <v>1</v>
      </c>
      <c r="F50" t="s">
        <v>2446</v>
      </c>
      <c r="G50" t="s">
        <v>2447</v>
      </c>
      <c r="H50" t="s">
        <v>2446</v>
      </c>
      <c r="I50" t="str">
        <f>HYPERLINK("https://zfin.org/ZDB-GENE-110718-2")</f>
        <v>https://zfin.org/ZDB-GENE-110718-2</v>
      </c>
      <c r="J50" t="s">
        <v>2445</v>
      </c>
    </row>
    <row r="51" spans="1:10" x14ac:dyDescent="0.2">
      <c r="A51">
        <v>2.6881797506491298E-3</v>
      </c>
      <c r="B51">
        <v>-0.36933726715937298</v>
      </c>
      <c r="C51">
        <v>0.317</v>
      </c>
      <c r="D51">
        <v>0.46100000000000002</v>
      </c>
      <c r="E51">
        <v>1</v>
      </c>
      <c r="F51" t="s">
        <v>3649</v>
      </c>
      <c r="G51" t="s">
        <v>3650</v>
      </c>
      <c r="H51" t="s">
        <v>3649</v>
      </c>
      <c r="I51" t="str">
        <f>HYPERLINK("https://zfin.org/")</f>
        <v>https://zfin.org/</v>
      </c>
    </row>
    <row r="52" spans="1:10" x14ac:dyDescent="0.2">
      <c r="A52">
        <v>2.7955397899635899E-3</v>
      </c>
      <c r="B52">
        <v>-0.431999842618012</v>
      </c>
      <c r="C52">
        <v>0.33700000000000002</v>
      </c>
      <c r="D52">
        <v>0.48299999999999998</v>
      </c>
      <c r="E52">
        <v>1</v>
      </c>
      <c r="F52" t="s">
        <v>3647</v>
      </c>
      <c r="G52" t="s">
        <v>3648</v>
      </c>
      <c r="H52" t="s">
        <v>3647</v>
      </c>
      <c r="I52" t="str">
        <f>HYPERLINK("https://zfin.org/ZDB-GENE-040426-1413")</f>
        <v>https://zfin.org/ZDB-GENE-040426-1413</v>
      </c>
      <c r="J52" t="s">
        <v>3646</v>
      </c>
    </row>
    <row r="53" spans="1:10" x14ac:dyDescent="0.2">
      <c r="A53">
        <v>2.8406953383314599E-3</v>
      </c>
      <c r="B53">
        <v>-0.403450860398541</v>
      </c>
      <c r="C53">
        <v>0.14899999999999999</v>
      </c>
      <c r="D53">
        <v>0.30199999999999999</v>
      </c>
      <c r="E53">
        <v>1</v>
      </c>
      <c r="F53" t="s">
        <v>2012</v>
      </c>
      <c r="G53" t="s">
        <v>2013</v>
      </c>
      <c r="H53" t="s">
        <v>2012</v>
      </c>
      <c r="I53" t="str">
        <f>HYPERLINK("https://zfin.org/ZDB-GENE-030131-8455")</f>
        <v>https://zfin.org/ZDB-GENE-030131-8455</v>
      </c>
      <c r="J53" t="s">
        <v>2011</v>
      </c>
    </row>
    <row r="54" spans="1:10" x14ac:dyDescent="0.2">
      <c r="A54">
        <v>2.9332092321219098E-3</v>
      </c>
      <c r="B54">
        <v>-0.60410144166643998</v>
      </c>
      <c r="C54">
        <v>0.158</v>
      </c>
      <c r="D54">
        <v>0.31</v>
      </c>
      <c r="E54">
        <v>1</v>
      </c>
      <c r="F54" t="s">
        <v>1707</v>
      </c>
      <c r="G54" t="s">
        <v>1708</v>
      </c>
      <c r="H54" t="s">
        <v>1707</v>
      </c>
      <c r="I54" t="str">
        <f>HYPERLINK("https://zfin.org/ZDB-GENE-020111-4")</f>
        <v>https://zfin.org/ZDB-GENE-020111-4</v>
      </c>
      <c r="J54" t="s">
        <v>1706</v>
      </c>
    </row>
    <row r="55" spans="1:10" x14ac:dyDescent="0.2">
      <c r="A55">
        <v>2.9829328109294301E-3</v>
      </c>
      <c r="B55">
        <v>-0.349273930205656</v>
      </c>
      <c r="C55">
        <v>0.03</v>
      </c>
      <c r="D55">
        <v>0.13800000000000001</v>
      </c>
      <c r="E55">
        <v>1</v>
      </c>
      <c r="F55" t="s">
        <v>3644</v>
      </c>
      <c r="G55" t="s">
        <v>3645</v>
      </c>
      <c r="H55" t="s">
        <v>3644</v>
      </c>
      <c r="I55" t="str">
        <f>HYPERLINK("https://zfin.org/ZDB-GENE-041001-144")</f>
        <v>https://zfin.org/ZDB-GENE-041001-144</v>
      </c>
      <c r="J55" t="s">
        <v>3643</v>
      </c>
    </row>
    <row r="56" spans="1:10" x14ac:dyDescent="0.2">
      <c r="A56">
        <v>3.1944412641940799E-3</v>
      </c>
      <c r="B56">
        <v>-0.32636050656462701</v>
      </c>
      <c r="C56">
        <v>0.04</v>
      </c>
      <c r="D56">
        <v>0.159</v>
      </c>
      <c r="E56">
        <v>1</v>
      </c>
      <c r="F56" t="s">
        <v>2422</v>
      </c>
      <c r="G56" t="s">
        <v>2423</v>
      </c>
      <c r="H56" t="s">
        <v>2422</v>
      </c>
      <c r="I56" t="str">
        <f>HYPERLINK("https://zfin.org/ZDB-GENE-111004-2")</f>
        <v>https://zfin.org/ZDB-GENE-111004-2</v>
      </c>
      <c r="J56" t="s">
        <v>2421</v>
      </c>
    </row>
    <row r="57" spans="1:10" x14ac:dyDescent="0.2">
      <c r="A57">
        <v>3.4284994316508199E-3</v>
      </c>
      <c r="B57">
        <v>-0.309841272607706</v>
      </c>
      <c r="C57">
        <v>0.13900000000000001</v>
      </c>
      <c r="D57">
        <v>0.28899999999999998</v>
      </c>
      <c r="E57">
        <v>1</v>
      </c>
      <c r="F57" t="s">
        <v>3641</v>
      </c>
      <c r="G57" t="s">
        <v>3642</v>
      </c>
      <c r="H57" t="s">
        <v>3641</v>
      </c>
      <c r="I57" t="str">
        <f>HYPERLINK("https://zfin.org/ZDB-GENE-040801-268")</f>
        <v>https://zfin.org/ZDB-GENE-040801-268</v>
      </c>
      <c r="J57" t="s">
        <v>3640</v>
      </c>
    </row>
    <row r="58" spans="1:10" x14ac:dyDescent="0.2">
      <c r="A58">
        <v>4.8678729730627897E-3</v>
      </c>
      <c r="B58">
        <v>-0.35557192136590199</v>
      </c>
      <c r="C58">
        <v>0.05</v>
      </c>
      <c r="D58">
        <v>0.159</v>
      </c>
      <c r="E58">
        <v>1</v>
      </c>
      <c r="F58" t="s">
        <v>3638</v>
      </c>
      <c r="G58" t="s">
        <v>3639</v>
      </c>
      <c r="H58" t="s">
        <v>3638</v>
      </c>
      <c r="I58" t="str">
        <f>HYPERLINK("https://zfin.org/ZDB-GENE-030131-5547")</f>
        <v>https://zfin.org/ZDB-GENE-030131-5547</v>
      </c>
      <c r="J58" t="s">
        <v>3637</v>
      </c>
    </row>
    <row r="59" spans="1:10" x14ac:dyDescent="0.2">
      <c r="A59">
        <v>5.0633902984190899E-3</v>
      </c>
      <c r="B59">
        <v>-0.32743082644870097</v>
      </c>
      <c r="C59">
        <v>8.8999999999999996E-2</v>
      </c>
      <c r="D59">
        <v>0.216</v>
      </c>
      <c r="E59">
        <v>1</v>
      </c>
      <c r="F59" t="s">
        <v>2973</v>
      </c>
      <c r="G59" t="s">
        <v>2974</v>
      </c>
      <c r="H59" t="s">
        <v>2973</v>
      </c>
      <c r="I59" t="str">
        <f>HYPERLINK("https://zfin.org/ZDB-GENE-030131-8921")</f>
        <v>https://zfin.org/ZDB-GENE-030131-8921</v>
      </c>
      <c r="J59" t="s">
        <v>2972</v>
      </c>
    </row>
    <row r="60" spans="1:10" x14ac:dyDescent="0.2">
      <c r="A60">
        <v>5.7401892610902602E-3</v>
      </c>
      <c r="B60">
        <v>-0.27063343624302599</v>
      </c>
      <c r="C60">
        <v>0.04</v>
      </c>
      <c r="D60">
        <v>0.14699999999999999</v>
      </c>
      <c r="E60">
        <v>1</v>
      </c>
      <c r="F60" t="s">
        <v>3635</v>
      </c>
      <c r="G60" t="s">
        <v>3636</v>
      </c>
      <c r="H60" t="s">
        <v>3635</v>
      </c>
      <c r="I60" t="str">
        <f>HYPERLINK("https://zfin.org/")</f>
        <v>https://zfin.org/</v>
      </c>
      <c r="J60" t="s">
        <v>3634</v>
      </c>
    </row>
    <row r="61" spans="1:10" x14ac:dyDescent="0.2">
      <c r="A61">
        <v>6.5457171263602204E-3</v>
      </c>
      <c r="B61">
        <v>-0.28220533637269701</v>
      </c>
      <c r="C61">
        <v>7.9000000000000001E-2</v>
      </c>
      <c r="D61">
        <v>0.20300000000000001</v>
      </c>
      <c r="E61">
        <v>1</v>
      </c>
      <c r="F61" t="s">
        <v>1152</v>
      </c>
      <c r="G61" t="s">
        <v>1153</v>
      </c>
      <c r="H61" t="s">
        <v>1152</v>
      </c>
      <c r="I61" t="str">
        <f>HYPERLINK("https://zfin.org/ZDB-GENE-030131-3481")</f>
        <v>https://zfin.org/ZDB-GENE-030131-3481</v>
      </c>
      <c r="J61" t="s">
        <v>1151</v>
      </c>
    </row>
    <row r="62" spans="1:10" x14ac:dyDescent="0.2">
      <c r="A62">
        <v>6.7308001432962398E-3</v>
      </c>
      <c r="B62">
        <v>-0.256711688852511</v>
      </c>
      <c r="C62">
        <v>0.04</v>
      </c>
      <c r="D62">
        <v>0.14199999999999999</v>
      </c>
      <c r="E62">
        <v>1</v>
      </c>
      <c r="F62" t="s">
        <v>3632</v>
      </c>
      <c r="G62" t="s">
        <v>3633</v>
      </c>
      <c r="H62" t="s">
        <v>3632</v>
      </c>
      <c r="I62" t="str">
        <f>HYPERLINK("https://zfin.org/ZDB-GENE-030327-5")</f>
        <v>https://zfin.org/ZDB-GENE-030327-5</v>
      </c>
      <c r="J62" t="s">
        <v>3631</v>
      </c>
    </row>
    <row r="63" spans="1:10" x14ac:dyDescent="0.2">
      <c r="A63">
        <v>7.6230775255204603E-3</v>
      </c>
      <c r="B63">
        <v>-0.36739978448329502</v>
      </c>
      <c r="C63">
        <v>0.04</v>
      </c>
      <c r="D63">
        <v>0.13800000000000001</v>
      </c>
      <c r="E63">
        <v>1</v>
      </c>
      <c r="F63" t="s">
        <v>3629</v>
      </c>
      <c r="G63" t="s">
        <v>3630</v>
      </c>
      <c r="H63" t="s">
        <v>3629</v>
      </c>
      <c r="I63" t="str">
        <f>HYPERLINK("https://zfin.org/ZDB-GENE-091113-51")</f>
        <v>https://zfin.org/ZDB-GENE-091113-51</v>
      </c>
      <c r="J63" t="s">
        <v>3628</v>
      </c>
    </row>
    <row r="64" spans="1:10" x14ac:dyDescent="0.2">
      <c r="A64">
        <v>7.6472228475432998E-3</v>
      </c>
      <c r="B64">
        <v>-0.36314058183486397</v>
      </c>
      <c r="C64">
        <v>0.29699999999999999</v>
      </c>
      <c r="D64">
        <v>0.44</v>
      </c>
      <c r="E64">
        <v>1</v>
      </c>
      <c r="F64" t="s">
        <v>1370</v>
      </c>
      <c r="G64" t="s">
        <v>1371</v>
      </c>
      <c r="H64" t="s">
        <v>1370</v>
      </c>
      <c r="I64" t="str">
        <f>HYPERLINK("https://zfin.org/ZDB-GENE-050320-111")</f>
        <v>https://zfin.org/ZDB-GENE-050320-111</v>
      </c>
      <c r="J64" t="s">
        <v>1369</v>
      </c>
    </row>
    <row r="65" spans="1:10" x14ac:dyDescent="0.2">
      <c r="A65">
        <v>7.9194744449129304E-3</v>
      </c>
      <c r="B65">
        <v>-0.355687891608299</v>
      </c>
      <c r="C65">
        <v>0.34699999999999998</v>
      </c>
      <c r="D65">
        <v>0.496</v>
      </c>
      <c r="E65">
        <v>1</v>
      </c>
      <c r="F65" t="s">
        <v>1400</v>
      </c>
      <c r="G65" t="s">
        <v>1401</v>
      </c>
      <c r="H65" t="s">
        <v>1400</v>
      </c>
      <c r="I65" t="str">
        <f>HYPERLINK("https://zfin.org/ZDB-GENE-030131-9149")</f>
        <v>https://zfin.org/ZDB-GENE-030131-9149</v>
      </c>
      <c r="J65" t="s">
        <v>1399</v>
      </c>
    </row>
    <row r="66" spans="1:10" x14ac:dyDescent="0.2">
      <c r="A66">
        <v>7.9945265036053398E-3</v>
      </c>
      <c r="B66">
        <v>-0.28975705431738003</v>
      </c>
      <c r="C66">
        <v>7.9000000000000001E-2</v>
      </c>
      <c r="D66">
        <v>0.19400000000000001</v>
      </c>
      <c r="E66">
        <v>1</v>
      </c>
      <c r="F66" t="s">
        <v>3626</v>
      </c>
      <c r="G66" t="s">
        <v>3627</v>
      </c>
      <c r="H66" t="s">
        <v>3626</v>
      </c>
      <c r="I66" t="str">
        <f>HYPERLINK("https://zfin.org/ZDB-GENE-030131-443")</f>
        <v>https://zfin.org/ZDB-GENE-030131-443</v>
      </c>
      <c r="J66" t="s">
        <v>3625</v>
      </c>
    </row>
    <row r="67" spans="1:10" x14ac:dyDescent="0.2">
      <c r="A67">
        <v>8.0999687049663899E-3</v>
      </c>
      <c r="B67">
        <v>-0.31344869356973198</v>
      </c>
      <c r="C67">
        <v>0.20799999999999999</v>
      </c>
      <c r="D67">
        <v>0.35299999999999998</v>
      </c>
      <c r="E67">
        <v>1</v>
      </c>
      <c r="F67" t="s">
        <v>649</v>
      </c>
      <c r="G67" t="s">
        <v>650</v>
      </c>
      <c r="H67" t="s">
        <v>649</v>
      </c>
      <c r="I67" t="str">
        <f>HYPERLINK("https://zfin.org/ZDB-GENE-040426-2152")</f>
        <v>https://zfin.org/ZDB-GENE-040426-2152</v>
      </c>
      <c r="J67" t="s">
        <v>648</v>
      </c>
    </row>
    <row r="68" spans="1:10" x14ac:dyDescent="0.2">
      <c r="A68">
        <v>8.6301882956793304E-3</v>
      </c>
      <c r="B68">
        <v>-0.281442676136545</v>
      </c>
      <c r="C68">
        <v>0.04</v>
      </c>
      <c r="D68">
        <v>0.13400000000000001</v>
      </c>
      <c r="E68">
        <v>1</v>
      </c>
      <c r="F68" t="s">
        <v>3623</v>
      </c>
      <c r="G68" t="s">
        <v>3624</v>
      </c>
      <c r="H68" t="s">
        <v>3623</v>
      </c>
      <c r="I68" t="str">
        <f>HYPERLINK("https://zfin.org/ZDB-GENE-040801-242")</f>
        <v>https://zfin.org/ZDB-GENE-040801-242</v>
      </c>
      <c r="J68" t="s">
        <v>3622</v>
      </c>
    </row>
    <row r="69" spans="1:10" x14ac:dyDescent="0.2">
      <c r="A69">
        <v>9.1345729808347594E-3</v>
      </c>
      <c r="B69">
        <v>-0.30055737088510698</v>
      </c>
      <c r="C69">
        <v>0.307</v>
      </c>
      <c r="D69">
        <v>0.435</v>
      </c>
      <c r="E69">
        <v>1</v>
      </c>
      <c r="F69" t="s">
        <v>3620</v>
      </c>
      <c r="G69" t="s">
        <v>3621</v>
      </c>
      <c r="H69" t="s">
        <v>3620</v>
      </c>
      <c r="I69" t="str">
        <f>HYPERLINK("https://zfin.org/ZDB-GENE-030131-5408")</f>
        <v>https://zfin.org/ZDB-GENE-030131-5408</v>
      </c>
      <c r="J69" t="s">
        <v>3619</v>
      </c>
    </row>
    <row r="70" spans="1:10" x14ac:dyDescent="0.2">
      <c r="A70">
        <v>9.2023217251125198E-3</v>
      </c>
      <c r="B70">
        <v>-0.87109805183787303</v>
      </c>
      <c r="C70">
        <v>0.32700000000000001</v>
      </c>
      <c r="D70">
        <v>0.47</v>
      </c>
      <c r="E70">
        <v>1</v>
      </c>
      <c r="F70" t="s">
        <v>1644</v>
      </c>
      <c r="G70" t="s">
        <v>1645</v>
      </c>
      <c r="H70" t="s">
        <v>1644</v>
      </c>
      <c r="I70" t="str">
        <f>HYPERLINK("https://zfin.org/ZDB-GENE-040718-197")</f>
        <v>https://zfin.org/ZDB-GENE-040718-197</v>
      </c>
      <c r="J70" t="s">
        <v>1643</v>
      </c>
    </row>
    <row r="71" spans="1:10" x14ac:dyDescent="0.2">
      <c r="A71">
        <v>9.3263191288327392E-3</v>
      </c>
      <c r="B71">
        <v>-0.26745604856934102</v>
      </c>
      <c r="C71">
        <v>0.05</v>
      </c>
      <c r="D71">
        <v>0.151</v>
      </c>
      <c r="E71">
        <v>1</v>
      </c>
      <c r="F71" t="s">
        <v>3617</v>
      </c>
      <c r="G71" t="s">
        <v>3618</v>
      </c>
      <c r="H71" t="s">
        <v>3617</v>
      </c>
      <c r="I71" t="str">
        <f>HYPERLINK("https://zfin.org/ZDB-GENE-141216-479")</f>
        <v>https://zfin.org/ZDB-GENE-141216-479</v>
      </c>
      <c r="J71" t="s">
        <v>3616</v>
      </c>
    </row>
    <row r="72" spans="1:10" x14ac:dyDescent="0.2">
      <c r="A72">
        <v>9.4219914521242801E-3</v>
      </c>
      <c r="B72">
        <v>-0.25699478740993198</v>
      </c>
      <c r="C72">
        <v>0.624</v>
      </c>
      <c r="D72">
        <v>0.75</v>
      </c>
      <c r="E72">
        <v>1</v>
      </c>
      <c r="F72" t="s">
        <v>138</v>
      </c>
      <c r="G72" t="s">
        <v>139</v>
      </c>
      <c r="H72" t="s">
        <v>138</v>
      </c>
      <c r="I72" t="str">
        <f>HYPERLINK("https://zfin.org/ZDB-GENE-030131-2524")</f>
        <v>https://zfin.org/ZDB-GENE-030131-2524</v>
      </c>
      <c r="J72" t="s">
        <v>140</v>
      </c>
    </row>
    <row r="73" spans="1:10" x14ac:dyDescent="0.2">
      <c r="A73">
        <v>9.4424729944177308E-3</v>
      </c>
      <c r="B73">
        <v>-0.38385966024746299</v>
      </c>
      <c r="C73">
        <v>8.8999999999999996E-2</v>
      </c>
      <c r="D73">
        <v>0.19800000000000001</v>
      </c>
      <c r="E73">
        <v>1</v>
      </c>
      <c r="F73" t="s">
        <v>3299</v>
      </c>
      <c r="G73" t="s">
        <v>3300</v>
      </c>
      <c r="H73" t="s">
        <v>3299</v>
      </c>
      <c r="I73" t="str">
        <f>HYPERLINK("https://zfin.org/ZDB-GENE-030131-260")</f>
        <v>https://zfin.org/ZDB-GENE-030131-260</v>
      </c>
      <c r="J73" t="s">
        <v>3298</v>
      </c>
    </row>
    <row r="74" spans="1:10" x14ac:dyDescent="0.2">
      <c r="A74">
        <v>9.8701105404721996E-3</v>
      </c>
      <c r="B74">
        <v>-0.42816378515158798</v>
      </c>
      <c r="C74">
        <v>6.9000000000000006E-2</v>
      </c>
      <c r="D74">
        <v>0.17199999999999999</v>
      </c>
      <c r="E74">
        <v>1</v>
      </c>
      <c r="F74" t="s">
        <v>2880</v>
      </c>
      <c r="G74" t="s">
        <v>2881</v>
      </c>
      <c r="H74" t="s">
        <v>2880</v>
      </c>
      <c r="I74" t="str">
        <f>HYPERLINK("https://zfin.org/ZDB-GENE-030131-5767")</f>
        <v>https://zfin.org/ZDB-GENE-030131-5767</v>
      </c>
      <c r="J74" t="s">
        <v>2879</v>
      </c>
    </row>
    <row r="75" spans="1:10" x14ac:dyDescent="0.2">
      <c r="A75">
        <v>1.04122313570212E-2</v>
      </c>
      <c r="B75">
        <v>-0.250556013849843</v>
      </c>
      <c r="C75">
        <v>0.03</v>
      </c>
      <c r="D75">
        <v>0.11600000000000001</v>
      </c>
      <c r="E75">
        <v>1</v>
      </c>
      <c r="F75" t="s">
        <v>3614</v>
      </c>
      <c r="G75" t="s">
        <v>3615</v>
      </c>
      <c r="H75" t="s">
        <v>3614</v>
      </c>
      <c r="I75" t="str">
        <f>HYPERLINK("https://zfin.org/ZDB-GENE-040426-712")</f>
        <v>https://zfin.org/ZDB-GENE-040426-712</v>
      </c>
      <c r="J75" t="s">
        <v>3613</v>
      </c>
    </row>
    <row r="76" spans="1:10" x14ac:dyDescent="0.2">
      <c r="A76">
        <v>1.0470476945765601E-2</v>
      </c>
      <c r="B76">
        <v>-0.314029770399601</v>
      </c>
      <c r="C76">
        <v>6.9000000000000006E-2</v>
      </c>
      <c r="D76">
        <v>0.17199999999999999</v>
      </c>
      <c r="E76">
        <v>1</v>
      </c>
      <c r="F76" t="s">
        <v>3611</v>
      </c>
      <c r="G76" t="s">
        <v>3612</v>
      </c>
      <c r="H76" t="s">
        <v>3611</v>
      </c>
      <c r="I76" t="str">
        <f>HYPERLINK("https://zfin.org/ZDB-GENE-041111-110")</f>
        <v>https://zfin.org/ZDB-GENE-041111-110</v>
      </c>
      <c r="J76" t="s">
        <v>3610</v>
      </c>
    </row>
    <row r="77" spans="1:10" x14ac:dyDescent="0.2">
      <c r="A77">
        <v>1.17608325862445E-2</v>
      </c>
      <c r="B77">
        <v>-0.330308389952434</v>
      </c>
      <c r="C77">
        <v>0.13900000000000001</v>
      </c>
      <c r="D77">
        <v>0.26300000000000001</v>
      </c>
      <c r="E77">
        <v>1</v>
      </c>
      <c r="F77" t="s">
        <v>3608</v>
      </c>
      <c r="G77" t="s">
        <v>3609</v>
      </c>
      <c r="H77" t="s">
        <v>3608</v>
      </c>
      <c r="I77" t="str">
        <f>HYPERLINK("https://zfin.org/ZDB-GENE-050417-176")</f>
        <v>https://zfin.org/ZDB-GENE-050417-176</v>
      </c>
      <c r="J77" t="s">
        <v>3607</v>
      </c>
    </row>
    <row r="78" spans="1:10" x14ac:dyDescent="0.2">
      <c r="A78">
        <v>1.18023179556155E-2</v>
      </c>
      <c r="B78">
        <v>-0.39671599553909098</v>
      </c>
      <c r="C78">
        <v>0.04</v>
      </c>
      <c r="D78">
        <v>0.129</v>
      </c>
      <c r="E78">
        <v>1</v>
      </c>
      <c r="F78" t="s">
        <v>3605</v>
      </c>
      <c r="G78" t="s">
        <v>3606</v>
      </c>
      <c r="H78" t="s">
        <v>3605</v>
      </c>
      <c r="I78" t="str">
        <f>HYPERLINK("https://zfin.org/ZDB-GENE-050417-400")</f>
        <v>https://zfin.org/ZDB-GENE-050417-400</v>
      </c>
      <c r="J78" t="s">
        <v>3604</v>
      </c>
    </row>
    <row r="79" spans="1:10" x14ac:dyDescent="0.2">
      <c r="A79">
        <v>1.2965607422831E-2</v>
      </c>
      <c r="B79">
        <v>-0.39636468424236998</v>
      </c>
      <c r="C79">
        <v>0.25700000000000001</v>
      </c>
      <c r="D79">
        <v>0.38400000000000001</v>
      </c>
      <c r="E79">
        <v>1</v>
      </c>
      <c r="F79" t="s">
        <v>3602</v>
      </c>
      <c r="G79" t="s">
        <v>3603</v>
      </c>
      <c r="H79" t="s">
        <v>3602</v>
      </c>
      <c r="I79" t="str">
        <f>HYPERLINK("https://zfin.org/ZDB-GENE-011205-9")</f>
        <v>https://zfin.org/ZDB-GENE-011205-9</v>
      </c>
      <c r="J79" t="s">
        <v>3601</v>
      </c>
    </row>
    <row r="80" spans="1:10" x14ac:dyDescent="0.2">
      <c r="A80">
        <v>1.33651086839401E-2</v>
      </c>
      <c r="B80">
        <v>-0.32122970940544898</v>
      </c>
      <c r="C80">
        <v>0.61399999999999999</v>
      </c>
      <c r="D80">
        <v>0.70299999999999996</v>
      </c>
      <c r="E80">
        <v>1</v>
      </c>
      <c r="F80" t="s">
        <v>249</v>
      </c>
      <c r="G80" t="s">
        <v>250</v>
      </c>
      <c r="H80" t="s">
        <v>249</v>
      </c>
      <c r="I80" t="str">
        <f>HYPERLINK("https://zfin.org/ZDB-GENE-141212-380")</f>
        <v>https://zfin.org/ZDB-GENE-141212-380</v>
      </c>
      <c r="J80" t="s">
        <v>251</v>
      </c>
    </row>
    <row r="81" spans="1:10" x14ac:dyDescent="0.2">
      <c r="A81">
        <v>1.35861595385468E-2</v>
      </c>
      <c r="B81">
        <v>-0.31360222289650103</v>
      </c>
      <c r="C81">
        <v>0.22800000000000001</v>
      </c>
      <c r="D81">
        <v>0.36199999999999999</v>
      </c>
      <c r="E81">
        <v>1</v>
      </c>
      <c r="F81" t="s">
        <v>3599</v>
      </c>
      <c r="G81" t="s">
        <v>3600</v>
      </c>
      <c r="H81" t="s">
        <v>3599</v>
      </c>
      <c r="I81" t="str">
        <f>HYPERLINK("https://zfin.org/ZDB-GENE-050506-118")</f>
        <v>https://zfin.org/ZDB-GENE-050506-118</v>
      </c>
      <c r="J81" t="s">
        <v>3598</v>
      </c>
    </row>
    <row r="82" spans="1:10" x14ac:dyDescent="0.2">
      <c r="A82">
        <v>1.38279609901349E-2</v>
      </c>
      <c r="B82">
        <v>-0.36602194417521999</v>
      </c>
      <c r="C82">
        <v>0.05</v>
      </c>
      <c r="D82">
        <v>0.14199999999999999</v>
      </c>
      <c r="E82">
        <v>1</v>
      </c>
      <c r="F82" t="s">
        <v>3596</v>
      </c>
      <c r="G82" t="s">
        <v>3597</v>
      </c>
      <c r="H82" t="s">
        <v>3596</v>
      </c>
      <c r="I82" t="str">
        <f>HYPERLINK("https://zfin.org/ZDB-GENE-980526-492")</f>
        <v>https://zfin.org/ZDB-GENE-980526-492</v>
      </c>
      <c r="J82" t="s">
        <v>3595</v>
      </c>
    </row>
    <row r="83" spans="1:10" x14ac:dyDescent="0.2">
      <c r="A83">
        <v>1.40399936053755E-2</v>
      </c>
      <c r="B83">
        <v>-0.26640340625033099</v>
      </c>
      <c r="C83">
        <v>0.109</v>
      </c>
      <c r="D83">
        <v>0.224</v>
      </c>
      <c r="E83">
        <v>1</v>
      </c>
      <c r="F83" t="s">
        <v>3593</v>
      </c>
      <c r="G83" t="s">
        <v>3594</v>
      </c>
      <c r="H83" t="s">
        <v>3593</v>
      </c>
      <c r="I83" t="str">
        <f>HYPERLINK("https://zfin.org/ZDB-GENE-060503-626")</f>
        <v>https://zfin.org/ZDB-GENE-060503-626</v>
      </c>
      <c r="J83" t="s">
        <v>3592</v>
      </c>
    </row>
    <row r="84" spans="1:10" x14ac:dyDescent="0.2">
      <c r="A84">
        <v>1.52988562377461E-2</v>
      </c>
      <c r="B84">
        <v>-0.35562670135420799</v>
      </c>
      <c r="C84">
        <v>0.35599999999999998</v>
      </c>
      <c r="D84">
        <v>0.46600000000000003</v>
      </c>
      <c r="E84">
        <v>1</v>
      </c>
      <c r="F84" t="s">
        <v>1500</v>
      </c>
      <c r="G84" t="s">
        <v>1501</v>
      </c>
      <c r="H84" t="s">
        <v>1500</v>
      </c>
      <c r="I84" t="str">
        <f>HYPERLINK("https://zfin.org/ZDB-GENE-030131-1452")</f>
        <v>https://zfin.org/ZDB-GENE-030131-1452</v>
      </c>
      <c r="J84" t="s">
        <v>1499</v>
      </c>
    </row>
    <row r="85" spans="1:10" x14ac:dyDescent="0.2">
      <c r="A85">
        <v>1.58929123971614E-2</v>
      </c>
      <c r="B85">
        <v>-0.34976788170656598</v>
      </c>
      <c r="C85">
        <v>0.14899999999999999</v>
      </c>
      <c r="D85">
        <v>0.26700000000000002</v>
      </c>
      <c r="E85">
        <v>1</v>
      </c>
      <c r="F85" t="s">
        <v>3590</v>
      </c>
      <c r="G85" t="s">
        <v>3591</v>
      </c>
      <c r="H85" t="s">
        <v>3590</v>
      </c>
      <c r="I85" t="str">
        <f>HYPERLINK("https://zfin.org/ZDB-GENE-990415-171")</f>
        <v>https://zfin.org/ZDB-GENE-990415-171</v>
      </c>
      <c r="J85" t="s">
        <v>3589</v>
      </c>
    </row>
    <row r="86" spans="1:10" x14ac:dyDescent="0.2">
      <c r="A86">
        <v>1.6171419566805002E-2</v>
      </c>
      <c r="B86">
        <v>-0.28182943526918702</v>
      </c>
      <c r="C86">
        <v>0.04</v>
      </c>
      <c r="D86">
        <v>0.125</v>
      </c>
      <c r="E86">
        <v>1</v>
      </c>
      <c r="F86" t="s">
        <v>3587</v>
      </c>
      <c r="G86" t="s">
        <v>3588</v>
      </c>
      <c r="H86" t="s">
        <v>3587</v>
      </c>
      <c r="I86" t="str">
        <f>HYPERLINK("https://zfin.org/ZDB-GENE-040426-1786")</f>
        <v>https://zfin.org/ZDB-GENE-040426-1786</v>
      </c>
      <c r="J86" t="s">
        <v>3586</v>
      </c>
    </row>
    <row r="87" spans="1:10" x14ac:dyDescent="0.2">
      <c r="A87">
        <v>1.6305863908254298E-2</v>
      </c>
      <c r="B87">
        <v>-0.35387826440367798</v>
      </c>
      <c r="C87">
        <v>7.9000000000000001E-2</v>
      </c>
      <c r="D87">
        <v>0.18099999999999999</v>
      </c>
      <c r="E87">
        <v>1</v>
      </c>
      <c r="F87" t="s">
        <v>2389</v>
      </c>
      <c r="G87" t="s">
        <v>2390</v>
      </c>
      <c r="H87" t="s">
        <v>2389</v>
      </c>
      <c r="I87" t="str">
        <f>HYPERLINK("https://zfin.org/ZDB-GENE-111109-3")</f>
        <v>https://zfin.org/ZDB-GENE-111109-3</v>
      </c>
      <c r="J87" t="s">
        <v>2388</v>
      </c>
    </row>
    <row r="88" spans="1:10" x14ac:dyDescent="0.2">
      <c r="A88">
        <v>1.67273282810434E-2</v>
      </c>
      <c r="B88">
        <v>-0.29801954423518301</v>
      </c>
      <c r="C88">
        <v>9.9000000000000005E-2</v>
      </c>
      <c r="D88">
        <v>0.20300000000000001</v>
      </c>
      <c r="E88">
        <v>1</v>
      </c>
      <c r="F88" t="s">
        <v>3584</v>
      </c>
      <c r="G88" t="s">
        <v>3585</v>
      </c>
      <c r="H88" t="s">
        <v>3584</v>
      </c>
      <c r="I88" t="str">
        <f>HYPERLINK("https://zfin.org/ZDB-GENE-021115-6")</f>
        <v>https://zfin.org/ZDB-GENE-021115-6</v>
      </c>
      <c r="J88" t="s">
        <v>3583</v>
      </c>
    </row>
    <row r="89" spans="1:10" x14ac:dyDescent="0.2">
      <c r="A89">
        <v>1.68292633456107E-2</v>
      </c>
      <c r="B89">
        <v>-0.38058596575474402</v>
      </c>
      <c r="C89">
        <v>0.17799999999999999</v>
      </c>
      <c r="D89">
        <v>0.30199999999999999</v>
      </c>
      <c r="E89">
        <v>1</v>
      </c>
      <c r="F89" t="s">
        <v>3581</v>
      </c>
      <c r="G89" t="s">
        <v>3582</v>
      </c>
      <c r="H89" t="s">
        <v>3581</v>
      </c>
      <c r="I89" t="str">
        <f>HYPERLINK("https://zfin.org/ZDB-GENE-090313-116")</f>
        <v>https://zfin.org/ZDB-GENE-090313-116</v>
      </c>
      <c r="J89" t="s">
        <v>3580</v>
      </c>
    </row>
    <row r="90" spans="1:10" x14ac:dyDescent="0.2">
      <c r="A90">
        <v>1.83492636702745E-2</v>
      </c>
      <c r="B90">
        <v>-0.26306421737594299</v>
      </c>
      <c r="C90">
        <v>6.9000000000000006E-2</v>
      </c>
      <c r="D90">
        <v>0.16800000000000001</v>
      </c>
      <c r="E90">
        <v>1</v>
      </c>
      <c r="F90" t="s">
        <v>3578</v>
      </c>
      <c r="G90" t="s">
        <v>3579</v>
      </c>
      <c r="H90" t="s">
        <v>3578</v>
      </c>
      <c r="I90" t="str">
        <f>HYPERLINK("https://zfin.org/ZDB-GENE-040426-2817")</f>
        <v>https://zfin.org/ZDB-GENE-040426-2817</v>
      </c>
      <c r="J90" t="s">
        <v>3577</v>
      </c>
    </row>
    <row r="91" spans="1:10" x14ac:dyDescent="0.2">
      <c r="A91">
        <v>1.8419673900498899E-2</v>
      </c>
      <c r="B91">
        <v>-0.30151856604424998</v>
      </c>
      <c r="C91">
        <v>0.436</v>
      </c>
      <c r="D91">
        <v>0.56499999999999995</v>
      </c>
      <c r="E91">
        <v>1</v>
      </c>
      <c r="F91" t="s">
        <v>797</v>
      </c>
      <c r="G91" t="s">
        <v>798</v>
      </c>
      <c r="H91" t="s">
        <v>797</v>
      </c>
      <c r="I91" t="str">
        <f>HYPERLINK("https://zfin.org/ZDB-GENE-020910-1")</f>
        <v>https://zfin.org/ZDB-GENE-020910-1</v>
      </c>
      <c r="J91" t="s">
        <v>796</v>
      </c>
    </row>
    <row r="92" spans="1:10" x14ac:dyDescent="0.2">
      <c r="A92">
        <v>1.8705835704040899E-2</v>
      </c>
      <c r="B92">
        <v>-0.38682839109316097</v>
      </c>
      <c r="C92">
        <v>9.9000000000000005E-2</v>
      </c>
      <c r="D92">
        <v>0.20699999999999999</v>
      </c>
      <c r="E92">
        <v>1</v>
      </c>
      <c r="F92" t="s">
        <v>1110</v>
      </c>
      <c r="G92" t="s">
        <v>1111</v>
      </c>
      <c r="H92" t="s">
        <v>1110</v>
      </c>
      <c r="I92" t="str">
        <f>HYPERLINK("https://zfin.org/ZDB-GENE-980526-144")</f>
        <v>https://zfin.org/ZDB-GENE-980526-144</v>
      </c>
      <c r="J92" t="s">
        <v>1109</v>
      </c>
    </row>
    <row r="93" spans="1:10" x14ac:dyDescent="0.2">
      <c r="A93">
        <v>1.8822456491993801E-2</v>
      </c>
      <c r="B93">
        <v>-0.27003629698996001</v>
      </c>
      <c r="C93">
        <v>0.11899999999999999</v>
      </c>
      <c r="D93">
        <v>0.224</v>
      </c>
      <c r="E93">
        <v>1</v>
      </c>
      <c r="F93" t="s">
        <v>3575</v>
      </c>
      <c r="G93" t="s">
        <v>3576</v>
      </c>
      <c r="H93" t="s">
        <v>3575</v>
      </c>
      <c r="I93" t="str">
        <f>HYPERLINK("https://zfin.org/ZDB-GENE-040426-2210")</f>
        <v>https://zfin.org/ZDB-GENE-040426-2210</v>
      </c>
      <c r="J93" t="s">
        <v>3574</v>
      </c>
    </row>
    <row r="94" spans="1:10" x14ac:dyDescent="0.2">
      <c r="A94">
        <v>1.8950243066032001E-2</v>
      </c>
      <c r="B94">
        <v>-0.30083623991090602</v>
      </c>
      <c r="C94">
        <v>0.17799999999999999</v>
      </c>
      <c r="D94">
        <v>0.29699999999999999</v>
      </c>
      <c r="E94">
        <v>1</v>
      </c>
      <c r="F94" t="s">
        <v>3572</v>
      </c>
      <c r="G94" t="s">
        <v>3573</v>
      </c>
      <c r="H94" t="s">
        <v>3572</v>
      </c>
      <c r="I94" t="str">
        <f>HYPERLINK("https://zfin.org/ZDB-GENE-040426-1979")</f>
        <v>https://zfin.org/ZDB-GENE-040426-1979</v>
      </c>
      <c r="J94" t="s">
        <v>3571</v>
      </c>
    </row>
    <row r="95" spans="1:10" x14ac:dyDescent="0.2">
      <c r="A95">
        <v>2.0547192805086999E-2</v>
      </c>
      <c r="B95">
        <v>-0.26047972098150901</v>
      </c>
      <c r="C95">
        <v>0.22800000000000001</v>
      </c>
      <c r="D95">
        <v>0.36599999999999999</v>
      </c>
      <c r="E95">
        <v>1</v>
      </c>
      <c r="F95" t="s">
        <v>3293</v>
      </c>
      <c r="G95" t="s">
        <v>3294</v>
      </c>
      <c r="H95" t="s">
        <v>3293</v>
      </c>
      <c r="I95" t="str">
        <f>HYPERLINK("https://zfin.org/ZDB-GENE-040426-1631")</f>
        <v>https://zfin.org/ZDB-GENE-040426-1631</v>
      </c>
      <c r="J95" t="s">
        <v>3292</v>
      </c>
    </row>
    <row r="96" spans="1:10" x14ac:dyDescent="0.2">
      <c r="A96">
        <v>2.1067971726747899E-2</v>
      </c>
      <c r="B96">
        <v>-0.37838355357032499</v>
      </c>
      <c r="C96">
        <v>0.14899999999999999</v>
      </c>
      <c r="D96">
        <v>0.25900000000000001</v>
      </c>
      <c r="E96">
        <v>1</v>
      </c>
      <c r="F96" t="s">
        <v>3569</v>
      </c>
      <c r="G96" t="s">
        <v>3570</v>
      </c>
      <c r="H96" t="s">
        <v>3569</v>
      </c>
      <c r="I96" t="str">
        <f>HYPERLINK("https://zfin.org/ZDB-GENE-040426-1760")</f>
        <v>https://zfin.org/ZDB-GENE-040426-1760</v>
      </c>
      <c r="J96" t="s">
        <v>3568</v>
      </c>
    </row>
    <row r="97" spans="1:10" x14ac:dyDescent="0.2">
      <c r="A97">
        <v>2.11635888941855E-2</v>
      </c>
      <c r="B97">
        <v>-0.28536242111203503</v>
      </c>
      <c r="C97">
        <v>6.9000000000000006E-2</v>
      </c>
      <c r="D97">
        <v>0.159</v>
      </c>
      <c r="E97">
        <v>1</v>
      </c>
      <c r="F97" t="s">
        <v>3566</v>
      </c>
      <c r="G97" t="s">
        <v>3567</v>
      </c>
      <c r="H97" t="s">
        <v>3566</v>
      </c>
      <c r="I97" t="str">
        <f>HYPERLINK("https://zfin.org/ZDB-GENE-040426-1307")</f>
        <v>https://zfin.org/ZDB-GENE-040426-1307</v>
      </c>
      <c r="J97" t="s">
        <v>3565</v>
      </c>
    </row>
    <row r="98" spans="1:10" x14ac:dyDescent="0.2">
      <c r="A98">
        <v>2.4241921082239999E-2</v>
      </c>
      <c r="B98">
        <v>-0.29506577810548601</v>
      </c>
      <c r="C98">
        <v>0.109</v>
      </c>
      <c r="D98">
        <v>0.216</v>
      </c>
      <c r="E98">
        <v>1</v>
      </c>
      <c r="F98" t="s">
        <v>1072</v>
      </c>
      <c r="G98" t="s">
        <v>1073</v>
      </c>
      <c r="H98" t="s">
        <v>1072</v>
      </c>
      <c r="I98" t="str">
        <f>HYPERLINK("https://zfin.org/ZDB-GENE-040426-2830")</f>
        <v>https://zfin.org/ZDB-GENE-040426-2830</v>
      </c>
      <c r="J98" t="s">
        <v>1071</v>
      </c>
    </row>
    <row r="99" spans="1:10" x14ac:dyDescent="0.2">
      <c r="A99">
        <v>2.4999182393672301E-2</v>
      </c>
      <c r="B99">
        <v>-0.291113068187559</v>
      </c>
      <c r="C99">
        <v>0.158</v>
      </c>
      <c r="D99">
        <v>0.27200000000000002</v>
      </c>
      <c r="E99">
        <v>1</v>
      </c>
      <c r="F99" t="s">
        <v>3563</v>
      </c>
      <c r="G99" t="s">
        <v>3564</v>
      </c>
      <c r="H99" t="s">
        <v>3563</v>
      </c>
      <c r="I99" t="str">
        <f>HYPERLINK("https://zfin.org/ZDB-GENE-050913-137")</f>
        <v>https://zfin.org/ZDB-GENE-050913-137</v>
      </c>
      <c r="J99" t="s">
        <v>3562</v>
      </c>
    </row>
    <row r="100" spans="1:10" x14ac:dyDescent="0.2">
      <c r="A100">
        <v>2.5619365817881001E-2</v>
      </c>
      <c r="B100">
        <v>-0.25644918503178898</v>
      </c>
      <c r="C100">
        <v>0.39600000000000002</v>
      </c>
      <c r="D100">
        <v>0.52600000000000002</v>
      </c>
      <c r="E100">
        <v>1</v>
      </c>
      <c r="F100" t="s">
        <v>3560</v>
      </c>
      <c r="G100" t="s">
        <v>3561</v>
      </c>
      <c r="H100" t="s">
        <v>3560</v>
      </c>
      <c r="I100" t="str">
        <f>HYPERLINK("https://zfin.org/ZDB-GENE-030131-6583")</f>
        <v>https://zfin.org/ZDB-GENE-030131-6583</v>
      </c>
      <c r="J100" t="s">
        <v>3559</v>
      </c>
    </row>
    <row r="101" spans="1:10" x14ac:dyDescent="0.2">
      <c r="A101">
        <v>2.7641902207658602E-2</v>
      </c>
      <c r="B101">
        <v>-0.26266606656317498</v>
      </c>
      <c r="C101">
        <v>0.25700000000000001</v>
      </c>
      <c r="D101">
        <v>0.379</v>
      </c>
      <c r="E101">
        <v>1</v>
      </c>
      <c r="F101" t="s">
        <v>3557</v>
      </c>
      <c r="G101" t="s">
        <v>3558</v>
      </c>
      <c r="H101" t="s">
        <v>3557</v>
      </c>
      <c r="I101" t="str">
        <f>HYPERLINK("https://zfin.org/ZDB-GENE-120312-1")</f>
        <v>https://zfin.org/ZDB-GENE-120312-1</v>
      </c>
      <c r="J101" t="s">
        <v>3556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C7D2-E3AB-6D4F-BB4B-709FC50A6B05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2.86051073631912E-3</v>
      </c>
      <c r="B2">
        <v>0.35032729915701999</v>
      </c>
      <c r="C2">
        <v>0.24399999999999999</v>
      </c>
      <c r="D2">
        <v>9.1999999999999998E-2</v>
      </c>
      <c r="E2">
        <v>1</v>
      </c>
      <c r="F2" t="s">
        <v>3835</v>
      </c>
      <c r="G2" t="s">
        <v>3836</v>
      </c>
      <c r="H2" t="s">
        <v>3835</v>
      </c>
      <c r="I2" t="str">
        <f>HYPERLINK("https://zfin.org/ZDB-GENE-030131-5134")</f>
        <v>https://zfin.org/ZDB-GENE-030131-5134</v>
      </c>
      <c r="J2" t="s">
        <v>3834</v>
      </c>
    </row>
    <row r="3" spans="1:10" x14ac:dyDescent="0.2">
      <c r="A3">
        <v>4.5117817032279701E-3</v>
      </c>
      <c r="B3">
        <v>0.26742859964860599</v>
      </c>
      <c r="C3">
        <v>0.114</v>
      </c>
      <c r="D3">
        <v>1.7999999999999999E-2</v>
      </c>
      <c r="E3">
        <v>1</v>
      </c>
      <c r="F3" t="s">
        <v>3832</v>
      </c>
      <c r="G3" t="s">
        <v>3833</v>
      </c>
      <c r="H3" t="s">
        <v>3832</v>
      </c>
      <c r="I3" t="str">
        <f>HYPERLINK("https://zfin.org/ZDB-GENE-040704-48")</f>
        <v>https://zfin.org/ZDB-GENE-040704-48</v>
      </c>
      <c r="J3" t="s">
        <v>3831</v>
      </c>
    </row>
    <row r="4" spans="1:10" x14ac:dyDescent="0.2">
      <c r="A4">
        <v>7.19395234216597E-3</v>
      </c>
      <c r="B4">
        <v>0.33324312304445303</v>
      </c>
      <c r="C4">
        <v>0.22</v>
      </c>
      <c r="D4">
        <v>9.1999999999999998E-2</v>
      </c>
      <c r="E4">
        <v>1</v>
      </c>
      <c r="F4" t="s">
        <v>3829</v>
      </c>
      <c r="G4" t="s">
        <v>3830</v>
      </c>
      <c r="H4" t="s">
        <v>3829</v>
      </c>
      <c r="I4" t="str">
        <f>HYPERLINK("https://zfin.org/ZDB-GENE-040718-270")</f>
        <v>https://zfin.org/ZDB-GENE-040718-270</v>
      </c>
      <c r="J4" t="s">
        <v>3828</v>
      </c>
    </row>
    <row r="5" spans="1:10" x14ac:dyDescent="0.2">
      <c r="A5">
        <v>7.5470622984944499E-3</v>
      </c>
      <c r="B5">
        <v>0.46635630430784197</v>
      </c>
      <c r="C5">
        <v>0.374</v>
      </c>
      <c r="D5">
        <v>0.248</v>
      </c>
      <c r="E5">
        <v>1</v>
      </c>
      <c r="F5" t="s">
        <v>2500</v>
      </c>
      <c r="G5" t="s">
        <v>2501</v>
      </c>
      <c r="H5" t="s">
        <v>2500</v>
      </c>
      <c r="I5" t="str">
        <f>HYPERLINK("https://zfin.org/ZDB-GENE-070112-1732")</f>
        <v>https://zfin.org/ZDB-GENE-070112-1732</v>
      </c>
      <c r="J5" t="s">
        <v>2499</v>
      </c>
    </row>
    <row r="6" spans="1:10" x14ac:dyDescent="0.2">
      <c r="A6">
        <v>1.04812469527782E-2</v>
      </c>
      <c r="B6">
        <v>0.273536123468549</v>
      </c>
      <c r="C6">
        <v>0.114</v>
      </c>
      <c r="D6">
        <v>2.8000000000000001E-2</v>
      </c>
      <c r="E6">
        <v>1</v>
      </c>
      <c r="F6" t="s">
        <v>3826</v>
      </c>
      <c r="G6" t="s">
        <v>3827</v>
      </c>
      <c r="H6" t="s">
        <v>3826</v>
      </c>
      <c r="I6" t="str">
        <f>HYPERLINK("https://zfin.org/ZDB-GENE-030131-5431")</f>
        <v>https://zfin.org/ZDB-GENE-030131-5431</v>
      </c>
      <c r="J6" t="s">
        <v>3825</v>
      </c>
    </row>
    <row r="7" spans="1:10" x14ac:dyDescent="0.2">
      <c r="A7">
        <v>1.2060556484952E-2</v>
      </c>
      <c r="B7">
        <v>0.32614582706384099</v>
      </c>
      <c r="C7">
        <v>0.13</v>
      </c>
      <c r="D7">
        <v>3.6999999999999998E-2</v>
      </c>
      <c r="E7">
        <v>1</v>
      </c>
      <c r="F7" t="s">
        <v>3823</v>
      </c>
      <c r="G7" t="s">
        <v>3824</v>
      </c>
      <c r="H7" t="s">
        <v>3823</v>
      </c>
      <c r="I7" t="str">
        <f>HYPERLINK("https://zfin.org/ZDB-GENE-990715-9")</f>
        <v>https://zfin.org/ZDB-GENE-990715-9</v>
      </c>
      <c r="J7" t="s">
        <v>3822</v>
      </c>
    </row>
    <row r="8" spans="1:10" x14ac:dyDescent="0.2">
      <c r="A8">
        <v>1.4113967801445601E-2</v>
      </c>
      <c r="B8">
        <v>0.261176925564792</v>
      </c>
      <c r="C8">
        <v>0.154</v>
      </c>
      <c r="D8">
        <v>5.5E-2</v>
      </c>
      <c r="E8">
        <v>1</v>
      </c>
      <c r="F8" t="s">
        <v>3820</v>
      </c>
      <c r="G8" t="s">
        <v>3821</v>
      </c>
      <c r="H8" t="s">
        <v>3820</v>
      </c>
      <c r="I8" t="str">
        <f>HYPERLINK("https://zfin.org/ZDB-GENE-040426-1896")</f>
        <v>https://zfin.org/ZDB-GENE-040426-1896</v>
      </c>
      <c r="J8" t="s">
        <v>3819</v>
      </c>
    </row>
    <row r="9" spans="1:10" x14ac:dyDescent="0.2">
      <c r="A9">
        <v>1.7907278993636699E-2</v>
      </c>
      <c r="B9">
        <v>0.301505959987864</v>
      </c>
      <c r="C9">
        <v>0.17100000000000001</v>
      </c>
      <c r="D9">
        <v>7.2999999999999995E-2</v>
      </c>
      <c r="E9">
        <v>1</v>
      </c>
      <c r="F9" t="s">
        <v>2940</v>
      </c>
      <c r="G9" t="s">
        <v>2941</v>
      </c>
      <c r="H9" t="s">
        <v>2940</v>
      </c>
      <c r="I9" t="str">
        <f>HYPERLINK("https://zfin.org/ZDB-GENE-020916-2")</f>
        <v>https://zfin.org/ZDB-GENE-020916-2</v>
      </c>
      <c r="J9" t="s">
        <v>2939</v>
      </c>
    </row>
    <row r="10" spans="1:10" x14ac:dyDescent="0.2">
      <c r="A10">
        <v>1.8442615757510002E-2</v>
      </c>
      <c r="B10">
        <v>0.29298455444082999</v>
      </c>
      <c r="C10">
        <v>0.14599999999999999</v>
      </c>
      <c r="D10">
        <v>5.5E-2</v>
      </c>
      <c r="E10">
        <v>1</v>
      </c>
      <c r="F10" t="s">
        <v>3817</v>
      </c>
      <c r="G10" t="s">
        <v>3818</v>
      </c>
      <c r="H10" t="s">
        <v>3817</v>
      </c>
      <c r="I10" t="str">
        <f>HYPERLINK("https://zfin.org/ZDB-GENE-040426-2822")</f>
        <v>https://zfin.org/ZDB-GENE-040426-2822</v>
      </c>
      <c r="J10" t="s">
        <v>3816</v>
      </c>
    </row>
    <row r="11" spans="1:10" x14ac:dyDescent="0.2">
      <c r="A11">
        <v>2.03706617915414E-2</v>
      </c>
      <c r="B11">
        <v>0.31574411485116599</v>
      </c>
      <c r="C11">
        <v>0.13</v>
      </c>
      <c r="D11">
        <v>4.5999999999999999E-2</v>
      </c>
      <c r="E11">
        <v>1</v>
      </c>
      <c r="F11" t="s">
        <v>3814</v>
      </c>
      <c r="G11" t="s">
        <v>3815</v>
      </c>
      <c r="H11" t="s">
        <v>3814</v>
      </c>
      <c r="I11" t="str">
        <f>HYPERLINK("https://zfin.org/ZDB-GENE-061013-647")</f>
        <v>https://zfin.org/ZDB-GENE-061013-647</v>
      </c>
      <c r="J11" t="s">
        <v>3813</v>
      </c>
    </row>
    <row r="12" spans="1:10" x14ac:dyDescent="0.2">
      <c r="A12">
        <v>2.24749315131571E-2</v>
      </c>
      <c r="B12">
        <v>0.38640563683025297</v>
      </c>
      <c r="C12">
        <v>0.17100000000000001</v>
      </c>
      <c r="D12">
        <v>7.2999999999999995E-2</v>
      </c>
      <c r="E12">
        <v>1</v>
      </c>
      <c r="F12" t="s">
        <v>3811</v>
      </c>
      <c r="G12" t="s">
        <v>3812</v>
      </c>
      <c r="H12" t="s">
        <v>3811</v>
      </c>
      <c r="I12" t="str">
        <f>HYPERLINK("https://zfin.org/ZDB-GENE-030131-6778")</f>
        <v>https://zfin.org/ZDB-GENE-030131-6778</v>
      </c>
      <c r="J12" t="s">
        <v>3810</v>
      </c>
    </row>
    <row r="13" spans="1:10" x14ac:dyDescent="0.2">
      <c r="A13">
        <v>2.29196754006981E-2</v>
      </c>
      <c r="B13">
        <v>0.34035565680962998</v>
      </c>
      <c r="C13">
        <v>0.22</v>
      </c>
      <c r="D13">
        <v>0.11</v>
      </c>
      <c r="E13">
        <v>1</v>
      </c>
      <c r="F13" t="s">
        <v>3808</v>
      </c>
      <c r="G13" t="s">
        <v>3809</v>
      </c>
      <c r="H13" t="s">
        <v>3808</v>
      </c>
      <c r="I13" t="str">
        <f>HYPERLINK("https://zfin.org/ZDB-GENE-070112-1112")</f>
        <v>https://zfin.org/ZDB-GENE-070112-1112</v>
      </c>
      <c r="J13" t="s">
        <v>3807</v>
      </c>
    </row>
    <row r="14" spans="1:10" x14ac:dyDescent="0.2">
      <c r="A14">
        <v>2.4184037812006301E-2</v>
      </c>
      <c r="B14">
        <v>0.25746976727146198</v>
      </c>
      <c r="C14">
        <v>0.114</v>
      </c>
      <c r="D14">
        <v>3.6999999999999998E-2</v>
      </c>
      <c r="E14">
        <v>1</v>
      </c>
      <c r="F14" t="s">
        <v>3805</v>
      </c>
      <c r="G14" t="s">
        <v>3806</v>
      </c>
      <c r="H14" t="s">
        <v>3805</v>
      </c>
      <c r="I14" t="str">
        <f>HYPERLINK("https://zfin.org/ZDB-GENE-040426-1498")</f>
        <v>https://zfin.org/ZDB-GENE-040426-1498</v>
      </c>
      <c r="J14" t="s">
        <v>3804</v>
      </c>
    </row>
    <row r="15" spans="1:10" x14ac:dyDescent="0.2">
      <c r="A15">
        <v>2.43972475160407E-2</v>
      </c>
      <c r="B15">
        <v>0.46557557959776102</v>
      </c>
      <c r="C15">
        <v>0.29299999999999998</v>
      </c>
      <c r="D15">
        <v>0.183</v>
      </c>
      <c r="E15">
        <v>1</v>
      </c>
      <c r="F15" t="s">
        <v>2515</v>
      </c>
      <c r="G15" t="s">
        <v>2516</v>
      </c>
      <c r="H15" t="s">
        <v>2515</v>
      </c>
      <c r="I15" t="str">
        <f>HYPERLINK("https://zfin.org/ZDB-GENE-030521-10")</f>
        <v>https://zfin.org/ZDB-GENE-030521-10</v>
      </c>
      <c r="J15" t="s">
        <v>2514</v>
      </c>
    </row>
    <row r="16" spans="1:10" x14ac:dyDescent="0.2">
      <c r="A16">
        <v>2.5532858087780001E-2</v>
      </c>
      <c r="B16">
        <v>0.33632954502067097</v>
      </c>
      <c r="C16">
        <v>0.78</v>
      </c>
      <c r="D16">
        <v>0.71599999999999997</v>
      </c>
      <c r="E16">
        <v>1</v>
      </c>
      <c r="F16" t="s">
        <v>127</v>
      </c>
      <c r="G16" t="s">
        <v>128</v>
      </c>
      <c r="H16" t="s">
        <v>127</v>
      </c>
      <c r="I16" t="str">
        <f>HYPERLINK("https://zfin.org/ZDB-GENE-050208-317")</f>
        <v>https://zfin.org/ZDB-GENE-050208-317</v>
      </c>
      <c r="J16" t="s">
        <v>129</v>
      </c>
    </row>
    <row r="17" spans="1:10" x14ac:dyDescent="0.2">
      <c r="A17">
        <v>2.5928212728686399E-2</v>
      </c>
      <c r="B17">
        <v>0.41622600019391198</v>
      </c>
      <c r="C17">
        <v>0.17899999999999999</v>
      </c>
      <c r="D17">
        <v>8.3000000000000004E-2</v>
      </c>
      <c r="E17">
        <v>1</v>
      </c>
      <c r="F17" t="s">
        <v>3802</v>
      </c>
      <c r="G17" t="s">
        <v>3803</v>
      </c>
      <c r="H17" t="s">
        <v>3802</v>
      </c>
      <c r="I17" t="str">
        <f>HYPERLINK("https://zfin.org/ZDB-GENE-030328-21")</f>
        <v>https://zfin.org/ZDB-GENE-030328-21</v>
      </c>
      <c r="J17" t="s">
        <v>3801</v>
      </c>
    </row>
    <row r="18" spans="1:10" x14ac:dyDescent="0.2">
      <c r="A18">
        <v>2.92874191333964E-2</v>
      </c>
      <c r="B18">
        <v>0.25384331156857898</v>
      </c>
      <c r="C18">
        <v>0.48799999999999999</v>
      </c>
      <c r="D18">
        <v>0.376</v>
      </c>
      <c r="E18">
        <v>1</v>
      </c>
      <c r="F18" t="s">
        <v>3620</v>
      </c>
      <c r="G18" t="s">
        <v>3621</v>
      </c>
      <c r="H18" t="s">
        <v>3620</v>
      </c>
      <c r="I18" t="str">
        <f>HYPERLINK("https://zfin.org/ZDB-GENE-030131-5408")</f>
        <v>https://zfin.org/ZDB-GENE-030131-5408</v>
      </c>
      <c r="J18" t="s">
        <v>3619</v>
      </c>
    </row>
    <row r="19" spans="1:10" x14ac:dyDescent="0.2">
      <c r="A19">
        <v>3.03330975054521E-2</v>
      </c>
      <c r="B19">
        <v>0.293524313795958</v>
      </c>
      <c r="C19">
        <v>0.13800000000000001</v>
      </c>
      <c r="D19">
        <v>5.5E-2</v>
      </c>
      <c r="E19">
        <v>1</v>
      </c>
      <c r="F19" t="s">
        <v>3143</v>
      </c>
      <c r="G19" t="s">
        <v>3144</v>
      </c>
      <c r="H19" t="s">
        <v>3143</v>
      </c>
      <c r="I19" t="str">
        <f>HYPERLINK("https://zfin.org/ZDB-GENE-060519-1")</f>
        <v>https://zfin.org/ZDB-GENE-060519-1</v>
      </c>
      <c r="J19" t="s">
        <v>3142</v>
      </c>
    </row>
    <row r="20" spans="1:10" x14ac:dyDescent="0.2">
      <c r="A20">
        <v>3.0610714822989799E-2</v>
      </c>
      <c r="B20">
        <v>0.298623684092853</v>
      </c>
      <c r="C20">
        <v>0.122</v>
      </c>
      <c r="D20">
        <v>4.5999999999999999E-2</v>
      </c>
      <c r="E20">
        <v>1</v>
      </c>
      <c r="F20" t="s">
        <v>3799</v>
      </c>
      <c r="G20" t="s">
        <v>3800</v>
      </c>
      <c r="H20" t="s">
        <v>3799</v>
      </c>
      <c r="I20" t="str">
        <f>HYPERLINK("https://zfin.org/ZDB-GENE-040426-686")</f>
        <v>https://zfin.org/ZDB-GENE-040426-686</v>
      </c>
      <c r="J20" t="s">
        <v>3798</v>
      </c>
    </row>
    <row r="21" spans="1:10" x14ac:dyDescent="0.2">
      <c r="A21">
        <v>3.2098723466529797E-2</v>
      </c>
      <c r="B21">
        <v>0.285295810175896</v>
      </c>
      <c r="C21">
        <v>0.20300000000000001</v>
      </c>
      <c r="D21">
        <v>0.10100000000000001</v>
      </c>
      <c r="E21">
        <v>1</v>
      </c>
      <c r="F21" t="s">
        <v>3796</v>
      </c>
      <c r="G21" t="s">
        <v>3797</v>
      </c>
      <c r="H21" t="s">
        <v>3796</v>
      </c>
      <c r="I21" t="str">
        <f>HYPERLINK("https://zfin.org/ZDB-GENE-040426-808")</f>
        <v>https://zfin.org/ZDB-GENE-040426-808</v>
      </c>
      <c r="J21" t="s">
        <v>3795</v>
      </c>
    </row>
    <row r="22" spans="1:10" x14ac:dyDescent="0.2">
      <c r="A22">
        <v>3.2944656439707003E-2</v>
      </c>
      <c r="B22">
        <v>0.29792149289189201</v>
      </c>
      <c r="C22">
        <v>0.59299999999999997</v>
      </c>
      <c r="D22">
        <v>0.505</v>
      </c>
      <c r="E22">
        <v>1</v>
      </c>
      <c r="F22" t="s">
        <v>1223</v>
      </c>
      <c r="G22" t="s">
        <v>1224</v>
      </c>
      <c r="H22" t="s">
        <v>1223</v>
      </c>
      <c r="I22" t="str">
        <f>HYPERLINK("https://zfin.org/ZDB-GENE-000406-5")</f>
        <v>https://zfin.org/ZDB-GENE-000406-5</v>
      </c>
      <c r="J22" t="s">
        <v>1222</v>
      </c>
    </row>
    <row r="23" spans="1:10" x14ac:dyDescent="0.2">
      <c r="A23">
        <v>3.37642182381565E-2</v>
      </c>
      <c r="B23">
        <v>0.555811503608448</v>
      </c>
      <c r="C23">
        <v>0.42299999999999999</v>
      </c>
      <c r="D23">
        <v>0.312</v>
      </c>
      <c r="E23">
        <v>1</v>
      </c>
      <c r="F23" t="s">
        <v>2563</v>
      </c>
      <c r="G23" t="s">
        <v>2564</v>
      </c>
      <c r="H23" t="s">
        <v>2563</v>
      </c>
      <c r="I23" t="str">
        <f>HYPERLINK("https://zfin.org/ZDB-GENE-131127-95")</f>
        <v>https://zfin.org/ZDB-GENE-131127-95</v>
      </c>
      <c r="J23" t="s">
        <v>2562</v>
      </c>
    </row>
    <row r="24" spans="1:10" x14ac:dyDescent="0.2">
      <c r="A24">
        <v>3.5600598406546703E-2</v>
      </c>
      <c r="B24">
        <v>0.25799215710073498</v>
      </c>
      <c r="C24">
        <v>0.13800000000000001</v>
      </c>
      <c r="D24">
        <v>5.5E-2</v>
      </c>
      <c r="E24">
        <v>1</v>
      </c>
      <c r="F24" t="s">
        <v>3793</v>
      </c>
      <c r="G24" t="s">
        <v>3794</v>
      </c>
      <c r="H24" t="s">
        <v>3793</v>
      </c>
      <c r="I24" t="str">
        <f>HYPERLINK("https://zfin.org/ZDB-GENE-030131-7949")</f>
        <v>https://zfin.org/ZDB-GENE-030131-7949</v>
      </c>
      <c r="J24" t="s">
        <v>3792</v>
      </c>
    </row>
    <row r="25" spans="1:10" x14ac:dyDescent="0.2">
      <c r="A25">
        <v>3.93371938416981E-2</v>
      </c>
      <c r="B25">
        <v>0.25959042463167498</v>
      </c>
      <c r="C25">
        <v>0.106</v>
      </c>
      <c r="D25">
        <v>3.6999999999999998E-2</v>
      </c>
      <c r="E25">
        <v>1</v>
      </c>
      <c r="F25" t="s">
        <v>3790</v>
      </c>
      <c r="G25" t="s">
        <v>3791</v>
      </c>
      <c r="H25" t="s">
        <v>3790</v>
      </c>
      <c r="I25" t="str">
        <f>HYPERLINK("https://zfin.org/ZDB-GENE-030131-9833")</f>
        <v>https://zfin.org/ZDB-GENE-030131-9833</v>
      </c>
      <c r="J25" t="s">
        <v>3789</v>
      </c>
    </row>
    <row r="26" spans="1:10" x14ac:dyDescent="0.2">
      <c r="A26">
        <v>4.0706692917806299E-2</v>
      </c>
      <c r="B26">
        <v>0.29668786070685099</v>
      </c>
      <c r="C26">
        <v>0.14599999999999999</v>
      </c>
      <c r="D26">
        <v>6.4000000000000001E-2</v>
      </c>
      <c r="E26">
        <v>1</v>
      </c>
      <c r="F26" t="s">
        <v>3787</v>
      </c>
      <c r="G26" t="s">
        <v>3788</v>
      </c>
      <c r="H26" t="s">
        <v>3787</v>
      </c>
      <c r="I26" t="str">
        <f>HYPERLINK("https://zfin.org/ZDB-GENE-090508-16")</f>
        <v>https://zfin.org/ZDB-GENE-090508-16</v>
      </c>
      <c r="J26" t="s">
        <v>3786</v>
      </c>
    </row>
    <row r="27" spans="1:10" x14ac:dyDescent="0.2">
      <c r="A27">
        <v>4.2994783523187301E-2</v>
      </c>
      <c r="B27">
        <v>0.38478673654588302</v>
      </c>
      <c r="C27">
        <v>0.38200000000000001</v>
      </c>
      <c r="D27">
        <v>0.27500000000000002</v>
      </c>
      <c r="E27">
        <v>1</v>
      </c>
      <c r="F27" t="s">
        <v>733</v>
      </c>
      <c r="G27" t="s">
        <v>734</v>
      </c>
      <c r="H27" t="s">
        <v>733</v>
      </c>
      <c r="I27" t="str">
        <f>HYPERLINK("https://zfin.org/ZDB-GENE-080723-23")</f>
        <v>https://zfin.org/ZDB-GENE-080723-23</v>
      </c>
      <c r="J27" t="s">
        <v>732</v>
      </c>
    </row>
    <row r="28" spans="1:10" x14ac:dyDescent="0.2">
      <c r="A28">
        <v>5.1402593423175998E-2</v>
      </c>
      <c r="B28">
        <v>0.57164575292752895</v>
      </c>
      <c r="C28">
        <v>0.82099999999999995</v>
      </c>
      <c r="D28">
        <v>0.81699999999999995</v>
      </c>
      <c r="E28">
        <v>1</v>
      </c>
      <c r="F28" t="s">
        <v>219</v>
      </c>
      <c r="G28" t="s">
        <v>220</v>
      </c>
      <c r="H28" t="s">
        <v>219</v>
      </c>
      <c r="I28" t="str">
        <f>HYPERLINK("https://zfin.org/ZDB-GENE-121214-200")</f>
        <v>https://zfin.org/ZDB-GENE-121214-200</v>
      </c>
      <c r="J28" t="s">
        <v>221</v>
      </c>
    </row>
    <row r="29" spans="1:10" x14ac:dyDescent="0.2">
      <c r="A29">
        <v>5.42892911992311E-2</v>
      </c>
      <c r="B29">
        <v>0.30941409205854198</v>
      </c>
      <c r="C29">
        <v>0.187</v>
      </c>
      <c r="D29">
        <v>0.10100000000000001</v>
      </c>
      <c r="E29">
        <v>1</v>
      </c>
      <c r="F29" t="s">
        <v>3536</v>
      </c>
      <c r="G29" t="s">
        <v>3537</v>
      </c>
      <c r="H29" t="s">
        <v>3536</v>
      </c>
      <c r="I29" t="str">
        <f>HYPERLINK("https://zfin.org/ZDB-GENE-031010-41")</f>
        <v>https://zfin.org/ZDB-GENE-031010-41</v>
      </c>
      <c r="J29" t="s">
        <v>3535</v>
      </c>
    </row>
    <row r="30" spans="1:10" x14ac:dyDescent="0.2">
      <c r="A30">
        <v>5.5815793187464997E-2</v>
      </c>
      <c r="B30">
        <v>0.29289902303597598</v>
      </c>
      <c r="C30">
        <v>0.114</v>
      </c>
      <c r="D30">
        <v>4.5999999999999999E-2</v>
      </c>
      <c r="E30">
        <v>1</v>
      </c>
      <c r="F30" t="s">
        <v>3784</v>
      </c>
      <c r="G30" t="s">
        <v>3785</v>
      </c>
      <c r="H30" t="s">
        <v>3784</v>
      </c>
      <c r="I30" t="str">
        <f>HYPERLINK("https://zfin.org/ZDB-GENE-060503-102")</f>
        <v>https://zfin.org/ZDB-GENE-060503-102</v>
      </c>
      <c r="J30" t="s">
        <v>3783</v>
      </c>
    </row>
    <row r="31" spans="1:10" x14ac:dyDescent="0.2">
      <c r="A31">
        <v>5.6759428285049797E-2</v>
      </c>
      <c r="B31">
        <v>0.29814462886167598</v>
      </c>
      <c r="C31">
        <v>0.36599999999999999</v>
      </c>
      <c r="D31">
        <v>0.26600000000000001</v>
      </c>
      <c r="E31">
        <v>1</v>
      </c>
      <c r="F31" t="s">
        <v>3781</v>
      </c>
      <c r="G31" t="s">
        <v>3782</v>
      </c>
      <c r="H31" t="s">
        <v>3781</v>
      </c>
      <c r="I31" t="str">
        <f>HYPERLINK("https://zfin.org/ZDB-GENE-000208-8")</f>
        <v>https://zfin.org/ZDB-GENE-000208-8</v>
      </c>
      <c r="J31" t="s">
        <v>3780</v>
      </c>
    </row>
    <row r="32" spans="1:10" x14ac:dyDescent="0.2">
      <c r="A32">
        <v>5.7125520343742499E-2</v>
      </c>
      <c r="B32">
        <v>0.28270092091210702</v>
      </c>
      <c r="C32">
        <v>0.29299999999999998</v>
      </c>
      <c r="D32">
        <v>0.20200000000000001</v>
      </c>
      <c r="E32">
        <v>1</v>
      </c>
      <c r="F32" t="s">
        <v>3778</v>
      </c>
      <c r="G32" t="s">
        <v>3779</v>
      </c>
      <c r="H32" t="s">
        <v>3778</v>
      </c>
      <c r="I32" t="str">
        <f>HYPERLINK("https://zfin.org/ZDB-GENE-030616-630")</f>
        <v>https://zfin.org/ZDB-GENE-030616-630</v>
      </c>
      <c r="J32" t="s">
        <v>3777</v>
      </c>
    </row>
    <row r="33" spans="1:10" x14ac:dyDescent="0.2">
      <c r="A33">
        <v>5.8312464845300102E-2</v>
      </c>
      <c r="B33">
        <v>0.28401299373650701</v>
      </c>
      <c r="C33">
        <v>0.16300000000000001</v>
      </c>
      <c r="D33">
        <v>8.3000000000000004E-2</v>
      </c>
      <c r="E33">
        <v>1</v>
      </c>
      <c r="F33" t="s">
        <v>3775</v>
      </c>
      <c r="G33" t="s">
        <v>3776</v>
      </c>
      <c r="H33" t="s">
        <v>3775</v>
      </c>
      <c r="I33" t="str">
        <f>HYPERLINK("https://zfin.org/ZDB-GENE-030131-5488")</f>
        <v>https://zfin.org/ZDB-GENE-030131-5488</v>
      </c>
      <c r="J33" t="s">
        <v>3774</v>
      </c>
    </row>
    <row r="34" spans="1:10" x14ac:dyDescent="0.2">
      <c r="A34">
        <v>5.90548658220287E-2</v>
      </c>
      <c r="B34">
        <v>0.39083453375707</v>
      </c>
      <c r="C34">
        <v>0.14599999999999999</v>
      </c>
      <c r="D34">
        <v>7.2999999999999995E-2</v>
      </c>
      <c r="E34">
        <v>1</v>
      </c>
      <c r="F34" t="s">
        <v>3772</v>
      </c>
      <c r="G34" t="s">
        <v>3773</v>
      </c>
      <c r="H34" t="s">
        <v>3772</v>
      </c>
      <c r="I34" t="str">
        <f>HYPERLINK("https://zfin.org/ZDB-GENE-040614-2")</f>
        <v>https://zfin.org/ZDB-GENE-040614-2</v>
      </c>
      <c r="J34" t="s">
        <v>3771</v>
      </c>
    </row>
    <row r="35" spans="1:10" x14ac:dyDescent="0.2">
      <c r="A35">
        <v>6.12500831268473E-2</v>
      </c>
      <c r="B35">
        <v>0.32776284553298002</v>
      </c>
      <c r="C35">
        <v>0.41499999999999998</v>
      </c>
      <c r="D35">
        <v>0.33900000000000002</v>
      </c>
      <c r="E35">
        <v>1</v>
      </c>
      <c r="F35" t="s">
        <v>3769</v>
      </c>
      <c r="G35" t="s">
        <v>3770</v>
      </c>
      <c r="H35" t="s">
        <v>3769</v>
      </c>
      <c r="I35" t="str">
        <f>HYPERLINK("https://zfin.org/ZDB-GENE-030131-512")</f>
        <v>https://zfin.org/ZDB-GENE-030131-512</v>
      </c>
      <c r="J35" t="s">
        <v>3768</v>
      </c>
    </row>
    <row r="36" spans="1:10" x14ac:dyDescent="0.2">
      <c r="A36">
        <v>6.3444504907122196E-2</v>
      </c>
      <c r="B36">
        <v>0.30995359245668003</v>
      </c>
      <c r="C36">
        <v>0.439</v>
      </c>
      <c r="D36">
        <v>0.34899999999999998</v>
      </c>
      <c r="E36">
        <v>1</v>
      </c>
      <c r="F36" t="s">
        <v>2937</v>
      </c>
      <c r="G36" t="s">
        <v>2938</v>
      </c>
      <c r="H36" t="s">
        <v>2937</v>
      </c>
      <c r="I36" t="str">
        <f>HYPERLINK("https://zfin.org/ZDB-GENE-070216-2")</f>
        <v>https://zfin.org/ZDB-GENE-070216-2</v>
      </c>
      <c r="J36" t="s">
        <v>2936</v>
      </c>
    </row>
    <row r="37" spans="1:10" x14ac:dyDescent="0.2">
      <c r="A37">
        <v>6.4642353074223405E-2</v>
      </c>
      <c r="B37">
        <v>0.35741503195430702</v>
      </c>
      <c r="C37">
        <v>0.252</v>
      </c>
      <c r="D37">
        <v>0.17399999999999999</v>
      </c>
      <c r="E37">
        <v>1</v>
      </c>
      <c r="F37" t="s">
        <v>3766</v>
      </c>
      <c r="G37" t="s">
        <v>3767</v>
      </c>
      <c r="H37" t="s">
        <v>3766</v>
      </c>
      <c r="I37" t="str">
        <f>HYPERLINK("https://zfin.org/ZDB-GENE-061103-178")</f>
        <v>https://zfin.org/ZDB-GENE-061103-178</v>
      </c>
      <c r="J37" t="s">
        <v>3765</v>
      </c>
    </row>
    <row r="38" spans="1:10" x14ac:dyDescent="0.2">
      <c r="A38">
        <v>7.2588385407620498E-2</v>
      </c>
      <c r="B38">
        <v>0.36185911492300699</v>
      </c>
      <c r="C38">
        <v>0.40699999999999997</v>
      </c>
      <c r="D38">
        <v>0.32100000000000001</v>
      </c>
      <c r="E38">
        <v>1</v>
      </c>
      <c r="F38" t="s">
        <v>3763</v>
      </c>
      <c r="G38" t="s">
        <v>3764</v>
      </c>
      <c r="H38" t="s">
        <v>3763</v>
      </c>
      <c r="I38" t="str">
        <f>HYPERLINK("https://zfin.org/ZDB-GENE-000616-2")</f>
        <v>https://zfin.org/ZDB-GENE-000616-2</v>
      </c>
      <c r="J38" t="s">
        <v>3762</v>
      </c>
    </row>
    <row r="39" spans="1:10" x14ac:dyDescent="0.2">
      <c r="A39">
        <v>7.6449759171332302E-2</v>
      </c>
      <c r="B39">
        <v>0.40757153082652797</v>
      </c>
      <c r="C39">
        <v>0.27600000000000002</v>
      </c>
      <c r="D39">
        <v>0.20200000000000001</v>
      </c>
      <c r="E39">
        <v>1</v>
      </c>
      <c r="F39" t="s">
        <v>3386</v>
      </c>
      <c r="G39" t="s">
        <v>3387</v>
      </c>
      <c r="H39" t="s">
        <v>3386</v>
      </c>
      <c r="I39" t="str">
        <f>HYPERLINK("https://zfin.org/ZDB-GENE-030616-624")</f>
        <v>https://zfin.org/ZDB-GENE-030616-624</v>
      </c>
      <c r="J39" t="s">
        <v>3385</v>
      </c>
    </row>
    <row r="40" spans="1:10" x14ac:dyDescent="0.2">
      <c r="A40">
        <v>7.7305971900307094E-2</v>
      </c>
      <c r="B40">
        <v>0.30462952427516998</v>
      </c>
      <c r="C40">
        <v>0.16300000000000001</v>
      </c>
      <c r="D40">
        <v>9.1999999999999998E-2</v>
      </c>
      <c r="E40">
        <v>1</v>
      </c>
      <c r="F40" t="s">
        <v>3760</v>
      </c>
      <c r="G40" t="s">
        <v>3761</v>
      </c>
      <c r="H40" t="s">
        <v>3760</v>
      </c>
      <c r="I40" t="str">
        <f>HYPERLINK("https://zfin.org/")</f>
        <v>https://zfin.org/</v>
      </c>
      <c r="J40" t="s">
        <v>3759</v>
      </c>
    </row>
    <row r="41" spans="1:10" x14ac:dyDescent="0.2">
      <c r="A41">
        <v>7.7559786738830502E-2</v>
      </c>
      <c r="B41">
        <v>0.36578146526533301</v>
      </c>
      <c r="C41">
        <v>0.24399999999999999</v>
      </c>
      <c r="D41">
        <v>0.16500000000000001</v>
      </c>
      <c r="E41">
        <v>1</v>
      </c>
      <c r="F41" t="s">
        <v>3757</v>
      </c>
      <c r="G41" t="s">
        <v>3758</v>
      </c>
      <c r="H41" t="s">
        <v>3757</v>
      </c>
      <c r="I41" t="str">
        <f>HYPERLINK("https://zfin.org/ZDB-GENE-040426-2213")</f>
        <v>https://zfin.org/ZDB-GENE-040426-2213</v>
      </c>
      <c r="J41" t="s">
        <v>3756</v>
      </c>
    </row>
    <row r="42" spans="1:10" x14ac:dyDescent="0.2">
      <c r="A42">
        <v>7.8049870690604595E-2</v>
      </c>
      <c r="B42">
        <v>0.30874634606963403</v>
      </c>
      <c r="C42">
        <v>0.23599999999999999</v>
      </c>
      <c r="D42">
        <v>0.14699999999999999</v>
      </c>
      <c r="E42">
        <v>1</v>
      </c>
      <c r="F42" t="s">
        <v>3754</v>
      </c>
      <c r="G42" t="s">
        <v>3755</v>
      </c>
      <c r="H42" t="s">
        <v>3754</v>
      </c>
      <c r="I42" t="str">
        <f>HYPERLINK("https://zfin.org/ZDB-GENE-040426-2789")</f>
        <v>https://zfin.org/ZDB-GENE-040426-2789</v>
      </c>
      <c r="J42" t="s">
        <v>3753</v>
      </c>
    </row>
    <row r="43" spans="1:10" x14ac:dyDescent="0.2">
      <c r="A43">
        <v>7.8794968620004804E-2</v>
      </c>
      <c r="B43">
        <v>0.368785857509149</v>
      </c>
      <c r="C43">
        <v>0.106</v>
      </c>
      <c r="D43">
        <v>4.5999999999999999E-2</v>
      </c>
      <c r="E43">
        <v>1</v>
      </c>
      <c r="F43" t="s">
        <v>2776</v>
      </c>
      <c r="G43" t="s">
        <v>2777</v>
      </c>
      <c r="H43" t="s">
        <v>2776</v>
      </c>
      <c r="I43" t="str">
        <f>HYPERLINK("https://zfin.org/ZDB-GENE-060815-1")</f>
        <v>https://zfin.org/ZDB-GENE-060815-1</v>
      </c>
      <c r="J43" t="s">
        <v>2775</v>
      </c>
    </row>
    <row r="44" spans="1:10" x14ac:dyDescent="0.2">
      <c r="A44">
        <v>7.9311482496024405E-2</v>
      </c>
      <c r="B44">
        <v>0.32966262777669098</v>
      </c>
      <c r="C44">
        <v>0.28499999999999998</v>
      </c>
      <c r="D44">
        <v>0.193</v>
      </c>
      <c r="E44">
        <v>1</v>
      </c>
      <c r="F44" t="s">
        <v>3212</v>
      </c>
      <c r="G44" t="s">
        <v>3213</v>
      </c>
      <c r="H44" t="s">
        <v>3212</v>
      </c>
      <c r="I44" t="str">
        <f>HYPERLINK("https://zfin.org/ZDB-GENE-040426-2745")</f>
        <v>https://zfin.org/ZDB-GENE-040426-2745</v>
      </c>
      <c r="J44" t="s">
        <v>3211</v>
      </c>
    </row>
    <row r="45" spans="1:10" x14ac:dyDescent="0.2">
      <c r="A45">
        <v>8.0833192956583602E-2</v>
      </c>
      <c r="B45">
        <v>0.307875259714189</v>
      </c>
      <c r="C45">
        <v>0.154</v>
      </c>
      <c r="D45">
        <v>8.3000000000000004E-2</v>
      </c>
      <c r="E45">
        <v>1</v>
      </c>
      <c r="F45" t="s">
        <v>3751</v>
      </c>
      <c r="G45" t="s">
        <v>3752</v>
      </c>
      <c r="H45" t="s">
        <v>3751</v>
      </c>
      <c r="I45" t="str">
        <f>HYPERLINK("https://zfin.org/ZDB-GENE-080520-3")</f>
        <v>https://zfin.org/ZDB-GENE-080520-3</v>
      </c>
      <c r="J45" t="s">
        <v>3750</v>
      </c>
    </row>
    <row r="46" spans="1:10" x14ac:dyDescent="0.2">
      <c r="A46">
        <v>8.2101968551556603E-2</v>
      </c>
      <c r="B46">
        <v>0.31349471398523199</v>
      </c>
      <c r="C46">
        <v>0.13</v>
      </c>
      <c r="D46">
        <v>6.4000000000000001E-2</v>
      </c>
      <c r="E46">
        <v>1</v>
      </c>
      <c r="F46" t="s">
        <v>3748</v>
      </c>
      <c r="G46" t="s">
        <v>3749</v>
      </c>
      <c r="H46" t="s">
        <v>3748</v>
      </c>
      <c r="I46" t="str">
        <f>HYPERLINK("https://zfin.org/ZDB-GENE-030515-2")</f>
        <v>https://zfin.org/ZDB-GENE-030515-2</v>
      </c>
      <c r="J46" t="s">
        <v>3747</v>
      </c>
    </row>
    <row r="47" spans="1:10" x14ac:dyDescent="0.2">
      <c r="A47">
        <v>8.3766701622567802E-2</v>
      </c>
      <c r="B47">
        <v>0.357562136210272</v>
      </c>
      <c r="C47">
        <v>0.22800000000000001</v>
      </c>
      <c r="D47">
        <v>0.14699999999999999</v>
      </c>
      <c r="E47">
        <v>1</v>
      </c>
      <c r="F47" t="s">
        <v>2934</v>
      </c>
      <c r="G47" t="s">
        <v>2935</v>
      </c>
      <c r="H47" t="s">
        <v>2934</v>
      </c>
      <c r="I47" t="str">
        <f>HYPERLINK("https://zfin.org/ZDB-GENE-070705-367")</f>
        <v>https://zfin.org/ZDB-GENE-070705-367</v>
      </c>
      <c r="J47" t="s">
        <v>2933</v>
      </c>
    </row>
    <row r="48" spans="1:10" x14ac:dyDescent="0.2">
      <c r="A48">
        <v>8.9591923635708795E-2</v>
      </c>
      <c r="B48">
        <v>0.34549459994917697</v>
      </c>
      <c r="C48">
        <v>0.57699999999999996</v>
      </c>
      <c r="D48">
        <v>0.54100000000000004</v>
      </c>
      <c r="E48">
        <v>1</v>
      </c>
      <c r="F48" t="s">
        <v>246</v>
      </c>
      <c r="G48" t="s">
        <v>247</v>
      </c>
      <c r="H48" t="s">
        <v>246</v>
      </c>
      <c r="I48" t="str">
        <f>HYPERLINK("https://zfin.org/ZDB-GENE-040426-2720")</f>
        <v>https://zfin.org/ZDB-GENE-040426-2720</v>
      </c>
      <c r="J48" t="s">
        <v>248</v>
      </c>
    </row>
    <row r="49" spans="1:10" x14ac:dyDescent="0.2">
      <c r="A49">
        <v>9.36218314143554E-2</v>
      </c>
      <c r="B49">
        <v>0.38560613269988198</v>
      </c>
      <c r="C49">
        <v>0.187</v>
      </c>
      <c r="D49">
        <v>0.11899999999999999</v>
      </c>
      <c r="E49">
        <v>1</v>
      </c>
      <c r="F49" t="s">
        <v>3745</v>
      </c>
      <c r="G49" t="s">
        <v>3746</v>
      </c>
      <c r="H49" t="s">
        <v>3745</v>
      </c>
      <c r="I49" t="str">
        <f>HYPERLINK("https://zfin.org/ZDB-GENE-030131-7661")</f>
        <v>https://zfin.org/ZDB-GENE-030131-7661</v>
      </c>
      <c r="J49" t="s">
        <v>3744</v>
      </c>
    </row>
    <row r="50" spans="1:10" x14ac:dyDescent="0.2">
      <c r="A50">
        <v>9.9752526494069294E-2</v>
      </c>
      <c r="B50">
        <v>0.32698239888306602</v>
      </c>
      <c r="C50">
        <v>0.252</v>
      </c>
      <c r="D50">
        <v>0.17399999999999999</v>
      </c>
      <c r="E50">
        <v>1</v>
      </c>
      <c r="F50" t="s">
        <v>3742</v>
      </c>
      <c r="G50" t="s">
        <v>3743</v>
      </c>
      <c r="H50" t="s">
        <v>3742</v>
      </c>
      <c r="I50" t="str">
        <f>HYPERLINK("https://zfin.org/ZDB-GENE-021115-8")</f>
        <v>https://zfin.org/ZDB-GENE-021115-8</v>
      </c>
      <c r="J50" t="s">
        <v>3741</v>
      </c>
    </row>
    <row r="51" spans="1:10" x14ac:dyDescent="0.2">
      <c r="A51">
        <v>0.10096724885760799</v>
      </c>
      <c r="B51">
        <v>0.373715785890396</v>
      </c>
      <c r="C51">
        <v>0.14599999999999999</v>
      </c>
      <c r="D51">
        <v>8.3000000000000004E-2</v>
      </c>
      <c r="E51">
        <v>1</v>
      </c>
      <c r="F51" t="s">
        <v>3739</v>
      </c>
      <c r="G51" t="s">
        <v>3740</v>
      </c>
      <c r="H51" t="s">
        <v>3739</v>
      </c>
      <c r="I51" t="str">
        <f>HYPERLINK("https://zfin.org/ZDB-GENE-040426-960")</f>
        <v>https://zfin.org/ZDB-GENE-040426-960</v>
      </c>
      <c r="J51" t="s">
        <v>3738</v>
      </c>
    </row>
    <row r="52" spans="1:10" x14ac:dyDescent="0.2">
      <c r="A52">
        <v>0.10201787340785499</v>
      </c>
      <c r="B52">
        <v>0.265967729579418</v>
      </c>
      <c r="C52">
        <v>0.36599999999999999</v>
      </c>
      <c r="D52">
        <v>0.28399999999999997</v>
      </c>
      <c r="E52">
        <v>1</v>
      </c>
      <c r="F52" t="s">
        <v>3736</v>
      </c>
      <c r="G52" t="s">
        <v>3737</v>
      </c>
      <c r="H52" t="s">
        <v>3736</v>
      </c>
      <c r="I52" t="str">
        <f>HYPERLINK("https://zfin.org/ZDB-GENE-030131-2527")</f>
        <v>https://zfin.org/ZDB-GENE-030131-2527</v>
      </c>
      <c r="J52" t="s">
        <v>3735</v>
      </c>
    </row>
    <row r="53" spans="1:10" x14ac:dyDescent="0.2">
      <c r="A53">
        <v>0.106984500364631</v>
      </c>
      <c r="B53">
        <v>0.26120563605189401</v>
      </c>
      <c r="C53">
        <v>0.57699999999999996</v>
      </c>
      <c r="D53">
        <v>0.52300000000000002</v>
      </c>
      <c r="E53">
        <v>1</v>
      </c>
      <c r="F53" t="s">
        <v>2925</v>
      </c>
      <c r="G53" t="s">
        <v>2926</v>
      </c>
      <c r="H53" t="s">
        <v>2925</v>
      </c>
      <c r="I53" t="str">
        <f>HYPERLINK("https://zfin.org/ZDB-GENE-040901-1")</f>
        <v>https://zfin.org/ZDB-GENE-040901-1</v>
      </c>
      <c r="J53" t="s">
        <v>2924</v>
      </c>
    </row>
    <row r="54" spans="1:10" x14ac:dyDescent="0.2">
      <c r="A54">
        <v>0.10698450324162299</v>
      </c>
      <c r="B54">
        <v>0.27372237514012399</v>
      </c>
      <c r="C54">
        <v>0.17100000000000001</v>
      </c>
      <c r="D54">
        <v>0.10100000000000001</v>
      </c>
      <c r="E54">
        <v>1</v>
      </c>
      <c r="F54" t="s">
        <v>1149</v>
      </c>
      <c r="G54" t="s">
        <v>1150</v>
      </c>
      <c r="H54" t="s">
        <v>1149</v>
      </c>
      <c r="I54" t="str">
        <f>HYPERLINK("https://zfin.org/ZDB-GENE-070912-648")</f>
        <v>https://zfin.org/ZDB-GENE-070912-648</v>
      </c>
      <c r="J54" t="s">
        <v>1148</v>
      </c>
    </row>
    <row r="55" spans="1:10" x14ac:dyDescent="0.2">
      <c r="A55">
        <v>0.10877180669374301</v>
      </c>
      <c r="B55">
        <v>0.27234986670580102</v>
      </c>
      <c r="C55">
        <v>0.21099999999999999</v>
      </c>
      <c r="D55">
        <v>0.13800000000000001</v>
      </c>
      <c r="E55">
        <v>1</v>
      </c>
      <c r="F55" t="s">
        <v>3733</v>
      </c>
      <c r="G55" t="s">
        <v>3734</v>
      </c>
      <c r="H55" t="s">
        <v>3733</v>
      </c>
      <c r="I55" t="str">
        <f>HYPERLINK("https://zfin.org/ZDB-GENE-040426-2939")</f>
        <v>https://zfin.org/ZDB-GENE-040426-2939</v>
      </c>
      <c r="J55" t="s">
        <v>3732</v>
      </c>
    </row>
    <row r="56" spans="1:10" x14ac:dyDescent="0.2">
      <c r="A56">
        <v>0.108841592459513</v>
      </c>
      <c r="B56">
        <v>0.26270113373431297</v>
      </c>
      <c r="C56">
        <v>0.92700000000000005</v>
      </c>
      <c r="D56">
        <v>0.95399999999999996</v>
      </c>
      <c r="E56">
        <v>1</v>
      </c>
      <c r="F56" t="s">
        <v>1835</v>
      </c>
      <c r="G56" t="s">
        <v>1836</v>
      </c>
      <c r="H56" t="s">
        <v>1835</v>
      </c>
      <c r="I56" t="str">
        <f>HYPERLINK("https://zfin.org/")</f>
        <v>https://zfin.org/</v>
      </c>
    </row>
    <row r="57" spans="1:10" x14ac:dyDescent="0.2">
      <c r="A57">
        <v>0.112208357561244</v>
      </c>
      <c r="B57">
        <v>0.31645395611528698</v>
      </c>
      <c r="C57">
        <v>0.74</v>
      </c>
      <c r="D57">
        <v>0.73399999999999999</v>
      </c>
      <c r="E57">
        <v>1</v>
      </c>
      <c r="F57" t="s">
        <v>3730</v>
      </c>
      <c r="G57" t="s">
        <v>3731</v>
      </c>
      <c r="H57" t="s">
        <v>3730</v>
      </c>
      <c r="I57" t="str">
        <f>HYPERLINK("https://zfin.org/ZDB-GENE-030131-2085")</f>
        <v>https://zfin.org/ZDB-GENE-030131-2085</v>
      </c>
      <c r="J57" t="s">
        <v>3729</v>
      </c>
    </row>
    <row r="58" spans="1:10" x14ac:dyDescent="0.2">
      <c r="A58">
        <v>0.112548976065453</v>
      </c>
      <c r="B58">
        <v>0.29298578334394598</v>
      </c>
      <c r="C58">
        <v>0.54500000000000004</v>
      </c>
      <c r="D58">
        <v>0.51400000000000001</v>
      </c>
      <c r="E58">
        <v>1</v>
      </c>
      <c r="F58" t="s">
        <v>174</v>
      </c>
      <c r="G58" t="s">
        <v>175</v>
      </c>
      <c r="H58" t="s">
        <v>174</v>
      </c>
      <c r="I58" t="str">
        <f>HYPERLINK("https://zfin.org/ZDB-GENE-050308-1")</f>
        <v>https://zfin.org/ZDB-GENE-050308-1</v>
      </c>
      <c r="J58" t="s">
        <v>176</v>
      </c>
    </row>
    <row r="59" spans="1:10" x14ac:dyDescent="0.2">
      <c r="A59">
        <v>0.114775133683464</v>
      </c>
      <c r="B59">
        <v>0.26900608373639601</v>
      </c>
      <c r="C59">
        <v>0.122</v>
      </c>
      <c r="D59">
        <v>6.4000000000000001E-2</v>
      </c>
      <c r="E59">
        <v>1</v>
      </c>
      <c r="F59" t="s">
        <v>3727</v>
      </c>
      <c r="G59" t="s">
        <v>3728</v>
      </c>
      <c r="H59" t="s">
        <v>3727</v>
      </c>
      <c r="I59" t="str">
        <f>HYPERLINK("https://zfin.org/ZDB-GENE-040426-978")</f>
        <v>https://zfin.org/ZDB-GENE-040426-978</v>
      </c>
      <c r="J59" t="s">
        <v>3726</v>
      </c>
    </row>
    <row r="60" spans="1:10" x14ac:dyDescent="0.2">
      <c r="A60">
        <v>0.116803120086268</v>
      </c>
      <c r="B60">
        <v>0.27967724105976899</v>
      </c>
      <c r="C60">
        <v>0.38200000000000001</v>
      </c>
      <c r="D60">
        <v>0.312</v>
      </c>
      <c r="E60">
        <v>1</v>
      </c>
      <c r="F60" t="s">
        <v>1343</v>
      </c>
      <c r="G60" t="s">
        <v>1344</v>
      </c>
      <c r="H60" t="s">
        <v>1343</v>
      </c>
      <c r="I60" t="str">
        <f>HYPERLINK("https://zfin.org/ZDB-GENE-010202-3")</f>
        <v>https://zfin.org/ZDB-GENE-010202-3</v>
      </c>
      <c r="J60" t="s">
        <v>1342</v>
      </c>
    </row>
    <row r="61" spans="1:10" x14ac:dyDescent="0.2">
      <c r="A61">
        <v>0.11740964480866201</v>
      </c>
      <c r="B61">
        <v>0.34843041638930899</v>
      </c>
      <c r="C61">
        <v>0.85399999999999998</v>
      </c>
      <c r="D61">
        <v>0.89</v>
      </c>
      <c r="E61">
        <v>1</v>
      </c>
      <c r="F61" t="s">
        <v>130</v>
      </c>
      <c r="G61" t="s">
        <v>131</v>
      </c>
      <c r="H61" t="s">
        <v>130</v>
      </c>
      <c r="I61" t="str">
        <f>HYPERLINK("https://zfin.org/ZDB-GENE-030131-8599")</f>
        <v>https://zfin.org/ZDB-GENE-030131-8599</v>
      </c>
      <c r="J61" t="s">
        <v>132</v>
      </c>
    </row>
    <row r="62" spans="1:10" x14ac:dyDescent="0.2">
      <c r="A62">
        <v>0.123092540952562</v>
      </c>
      <c r="B62">
        <v>0.33947212487883699</v>
      </c>
      <c r="C62">
        <v>0.439</v>
      </c>
      <c r="D62">
        <v>0.35799999999999998</v>
      </c>
      <c r="E62">
        <v>1</v>
      </c>
      <c r="F62" t="s">
        <v>3724</v>
      </c>
      <c r="G62" t="s">
        <v>3725</v>
      </c>
      <c r="H62" t="s">
        <v>3724</v>
      </c>
      <c r="I62" t="str">
        <f>HYPERLINK("https://zfin.org/ZDB-GENE-050522-151")</f>
        <v>https://zfin.org/ZDB-GENE-050522-151</v>
      </c>
      <c r="J62" t="s">
        <v>3723</v>
      </c>
    </row>
    <row r="63" spans="1:10" x14ac:dyDescent="0.2">
      <c r="A63">
        <v>0.12607568227153099</v>
      </c>
      <c r="B63">
        <v>0.25734392822038998</v>
      </c>
      <c r="C63">
        <v>0.23599999999999999</v>
      </c>
      <c r="D63">
        <v>0.16500000000000001</v>
      </c>
      <c r="E63">
        <v>1</v>
      </c>
      <c r="F63" t="s">
        <v>3721</v>
      </c>
      <c r="G63" t="s">
        <v>3722</v>
      </c>
      <c r="H63" t="s">
        <v>3721</v>
      </c>
      <c r="I63" t="str">
        <f>HYPERLINK("https://zfin.org/ZDB-GENE-030616-54")</f>
        <v>https://zfin.org/ZDB-GENE-030616-54</v>
      </c>
      <c r="J63" t="s">
        <v>3720</v>
      </c>
    </row>
    <row r="64" spans="1:10" x14ac:dyDescent="0.2">
      <c r="A64">
        <v>0.12663525404510101</v>
      </c>
      <c r="B64">
        <v>0.33681321591604102</v>
      </c>
      <c r="C64">
        <v>0.24399999999999999</v>
      </c>
      <c r="D64">
        <v>0.183</v>
      </c>
      <c r="E64">
        <v>1</v>
      </c>
      <c r="F64" t="s">
        <v>3718</v>
      </c>
      <c r="G64" t="s">
        <v>3719</v>
      </c>
      <c r="H64" t="s">
        <v>3718</v>
      </c>
      <c r="I64" t="str">
        <f>HYPERLINK("https://zfin.org/ZDB-GENE-020802-3")</f>
        <v>https://zfin.org/ZDB-GENE-020802-3</v>
      </c>
      <c r="J64" t="s">
        <v>3717</v>
      </c>
    </row>
    <row r="65" spans="1:10" x14ac:dyDescent="0.2">
      <c r="A65">
        <v>0.135834294805668</v>
      </c>
      <c r="B65">
        <v>0.25690166055854802</v>
      </c>
      <c r="C65">
        <v>0.16300000000000001</v>
      </c>
      <c r="D65">
        <v>0.10100000000000001</v>
      </c>
      <c r="E65">
        <v>1</v>
      </c>
      <c r="F65" t="s">
        <v>3715</v>
      </c>
      <c r="G65" t="s">
        <v>3716</v>
      </c>
      <c r="H65" t="s">
        <v>3715</v>
      </c>
      <c r="I65" t="str">
        <f>HYPERLINK("https://zfin.org/ZDB-GENE-011210-1")</f>
        <v>https://zfin.org/ZDB-GENE-011210-1</v>
      </c>
      <c r="J65" t="s">
        <v>3714</v>
      </c>
    </row>
    <row r="66" spans="1:10" x14ac:dyDescent="0.2">
      <c r="A66">
        <v>0.13749706098039599</v>
      </c>
      <c r="B66">
        <v>0.31092678564007198</v>
      </c>
      <c r="C66">
        <v>0.13800000000000001</v>
      </c>
      <c r="D66">
        <v>8.3000000000000004E-2</v>
      </c>
      <c r="E66">
        <v>1</v>
      </c>
      <c r="F66" t="s">
        <v>3712</v>
      </c>
      <c r="G66" t="s">
        <v>3713</v>
      </c>
      <c r="H66" t="s">
        <v>3712</v>
      </c>
      <c r="I66" t="str">
        <f>HYPERLINK("https://zfin.org/ZDB-GENE-030219-132")</f>
        <v>https://zfin.org/ZDB-GENE-030219-132</v>
      </c>
      <c r="J66" t="s">
        <v>3711</v>
      </c>
    </row>
    <row r="67" spans="1:10" x14ac:dyDescent="0.2">
      <c r="A67">
        <v>0.14623266498726201</v>
      </c>
      <c r="B67">
        <v>0.29811254440556501</v>
      </c>
      <c r="C67">
        <v>0.13800000000000001</v>
      </c>
      <c r="D67">
        <v>8.3000000000000004E-2</v>
      </c>
      <c r="E67">
        <v>1</v>
      </c>
      <c r="F67" t="s">
        <v>3709</v>
      </c>
      <c r="G67" t="s">
        <v>3710</v>
      </c>
      <c r="H67" t="s">
        <v>3709</v>
      </c>
      <c r="I67" t="str">
        <f>HYPERLINK("https://zfin.org/ZDB-GENE-040426-1292")</f>
        <v>https://zfin.org/ZDB-GENE-040426-1292</v>
      </c>
      <c r="J67" t="s">
        <v>3708</v>
      </c>
    </row>
    <row r="68" spans="1:10" x14ac:dyDescent="0.2">
      <c r="A68">
        <v>0.15054993684344001</v>
      </c>
      <c r="B68">
        <v>0.25562188366163202</v>
      </c>
      <c r="C68">
        <v>0.17100000000000001</v>
      </c>
      <c r="D68">
        <v>0.11</v>
      </c>
      <c r="E68">
        <v>1</v>
      </c>
      <c r="F68" t="s">
        <v>3706</v>
      </c>
      <c r="G68" t="s">
        <v>3707</v>
      </c>
      <c r="H68" t="s">
        <v>3706</v>
      </c>
      <c r="I68" t="str">
        <f>HYPERLINK("https://zfin.org/ZDB-GENE-030131-2768")</f>
        <v>https://zfin.org/ZDB-GENE-030131-2768</v>
      </c>
      <c r="J68" t="s">
        <v>3705</v>
      </c>
    </row>
    <row r="69" spans="1:10" x14ac:dyDescent="0.2">
      <c r="A69">
        <v>0.153612669476486</v>
      </c>
      <c r="B69">
        <v>0.26825306257896098</v>
      </c>
      <c r="C69">
        <v>0.28499999999999998</v>
      </c>
      <c r="D69">
        <v>0.22</v>
      </c>
      <c r="E69">
        <v>1</v>
      </c>
      <c r="F69" t="s">
        <v>3703</v>
      </c>
      <c r="G69" t="s">
        <v>3704</v>
      </c>
      <c r="H69" t="s">
        <v>3703</v>
      </c>
      <c r="I69" t="str">
        <f>HYPERLINK("https://zfin.org/ZDB-GENE-030131-3022")</f>
        <v>https://zfin.org/ZDB-GENE-030131-3022</v>
      </c>
      <c r="J69" t="s">
        <v>3702</v>
      </c>
    </row>
    <row r="70" spans="1:10" x14ac:dyDescent="0.2">
      <c r="A70">
        <v>0.15497420498697201</v>
      </c>
      <c r="B70">
        <v>0.309207206641885</v>
      </c>
      <c r="C70">
        <v>0.40699999999999997</v>
      </c>
      <c r="D70">
        <v>0.35799999999999998</v>
      </c>
      <c r="E70">
        <v>1</v>
      </c>
      <c r="F70" t="s">
        <v>2566</v>
      </c>
      <c r="G70" t="s">
        <v>2567</v>
      </c>
      <c r="H70" t="s">
        <v>2566</v>
      </c>
      <c r="I70" t="str">
        <f>HYPERLINK("https://zfin.org/ZDB-GENE-030131-9914")</f>
        <v>https://zfin.org/ZDB-GENE-030131-9914</v>
      </c>
      <c r="J70" t="s">
        <v>2565</v>
      </c>
    </row>
    <row r="71" spans="1:10" x14ac:dyDescent="0.2">
      <c r="A71">
        <v>0.15682671590160699</v>
      </c>
      <c r="B71">
        <v>0.34849416225213398</v>
      </c>
      <c r="C71">
        <v>0.41499999999999998</v>
      </c>
      <c r="D71">
        <v>0.38500000000000001</v>
      </c>
      <c r="E71">
        <v>1</v>
      </c>
      <c r="F71" t="s">
        <v>1274</v>
      </c>
      <c r="G71" t="s">
        <v>1275</v>
      </c>
      <c r="H71" t="s">
        <v>1274</v>
      </c>
      <c r="I71" t="str">
        <f>HYPERLINK("https://zfin.org/ZDB-GENE-031016-2")</f>
        <v>https://zfin.org/ZDB-GENE-031016-2</v>
      </c>
      <c r="J71" t="s">
        <v>1273</v>
      </c>
    </row>
    <row r="72" spans="1:10" x14ac:dyDescent="0.2">
      <c r="A72">
        <v>0.160125009121418</v>
      </c>
      <c r="B72">
        <v>0.299281328211911</v>
      </c>
      <c r="C72">
        <v>0.52</v>
      </c>
      <c r="D72">
        <v>0.505</v>
      </c>
      <c r="E72">
        <v>1</v>
      </c>
      <c r="F72" t="s">
        <v>3700</v>
      </c>
      <c r="G72" t="s">
        <v>3701</v>
      </c>
      <c r="H72" t="s">
        <v>3700</v>
      </c>
      <c r="I72" t="str">
        <f>HYPERLINK("https://zfin.org/ZDB-GENE-020418-2")</f>
        <v>https://zfin.org/ZDB-GENE-020418-2</v>
      </c>
      <c r="J72" t="s">
        <v>3699</v>
      </c>
    </row>
    <row r="73" spans="1:10" x14ac:dyDescent="0.2">
      <c r="A73">
        <v>0.164939868637929</v>
      </c>
      <c r="B73">
        <v>0.31340372573647601</v>
      </c>
      <c r="C73">
        <v>0.41499999999999998</v>
      </c>
      <c r="D73">
        <v>0.35799999999999998</v>
      </c>
      <c r="E73">
        <v>1</v>
      </c>
      <c r="F73" t="s">
        <v>3697</v>
      </c>
      <c r="G73" t="s">
        <v>3698</v>
      </c>
      <c r="H73" t="s">
        <v>3697</v>
      </c>
      <c r="I73" t="str">
        <f>HYPERLINK("https://zfin.org/ZDB-GENE-040426-1391")</f>
        <v>https://zfin.org/ZDB-GENE-040426-1391</v>
      </c>
      <c r="J73" t="s">
        <v>3696</v>
      </c>
    </row>
    <row r="74" spans="1:10" x14ac:dyDescent="0.2">
      <c r="A74">
        <v>0.16664381678623699</v>
      </c>
      <c r="B74">
        <v>0.345437426088755</v>
      </c>
      <c r="C74">
        <v>0.24399999999999999</v>
      </c>
      <c r="D74">
        <v>0.183</v>
      </c>
      <c r="E74">
        <v>1</v>
      </c>
      <c r="F74" t="s">
        <v>3694</v>
      </c>
      <c r="G74" t="s">
        <v>3695</v>
      </c>
      <c r="H74" t="s">
        <v>3694</v>
      </c>
      <c r="I74" t="str">
        <f>HYPERLINK("https://zfin.org/ZDB-GENE-030131-6117")</f>
        <v>https://zfin.org/ZDB-GENE-030131-6117</v>
      </c>
      <c r="J74" t="s">
        <v>3693</v>
      </c>
    </row>
    <row r="75" spans="1:10" x14ac:dyDescent="0.2">
      <c r="A75">
        <v>0.166904531683397</v>
      </c>
      <c r="B75">
        <v>0.435765263222258</v>
      </c>
      <c r="C75">
        <v>0.114</v>
      </c>
      <c r="D75">
        <v>6.4000000000000001E-2</v>
      </c>
      <c r="E75">
        <v>1</v>
      </c>
      <c r="F75" t="s">
        <v>2790</v>
      </c>
      <c r="G75" t="s">
        <v>2791</v>
      </c>
      <c r="H75" t="s">
        <v>2790</v>
      </c>
      <c r="I75" t="str">
        <f>HYPERLINK("https://zfin.org/ZDB-GENE-990415-17")</f>
        <v>https://zfin.org/ZDB-GENE-990415-17</v>
      </c>
      <c r="J75" t="s">
        <v>2789</v>
      </c>
    </row>
    <row r="76" spans="1:10" x14ac:dyDescent="0.2">
      <c r="A76">
        <v>0.167085501341696</v>
      </c>
      <c r="B76">
        <v>0.344553939728105</v>
      </c>
      <c r="C76">
        <v>0.154</v>
      </c>
      <c r="D76">
        <v>0.10100000000000001</v>
      </c>
      <c r="E76">
        <v>1</v>
      </c>
      <c r="F76" t="s">
        <v>3691</v>
      </c>
      <c r="G76" t="s">
        <v>3692</v>
      </c>
      <c r="H76" t="s">
        <v>3691</v>
      </c>
      <c r="I76" t="str">
        <f>HYPERLINK("https://zfin.org/ZDB-GENE-070112-1972")</f>
        <v>https://zfin.org/ZDB-GENE-070112-1972</v>
      </c>
      <c r="J76" t="s">
        <v>3690</v>
      </c>
    </row>
    <row r="77" spans="1:10" x14ac:dyDescent="0.2">
      <c r="A77">
        <v>0.16748133500362999</v>
      </c>
      <c r="B77">
        <v>0.34336600080853802</v>
      </c>
      <c r="C77">
        <v>0.24399999999999999</v>
      </c>
      <c r="D77">
        <v>0.183</v>
      </c>
      <c r="E77">
        <v>1</v>
      </c>
      <c r="F77" t="s">
        <v>1072</v>
      </c>
      <c r="G77" t="s">
        <v>1073</v>
      </c>
      <c r="H77" t="s">
        <v>1072</v>
      </c>
      <c r="I77" t="str">
        <f>HYPERLINK("https://zfin.org/ZDB-GENE-040426-2830")</f>
        <v>https://zfin.org/ZDB-GENE-040426-2830</v>
      </c>
      <c r="J77" t="s">
        <v>1071</v>
      </c>
    </row>
    <row r="78" spans="1:10" x14ac:dyDescent="0.2">
      <c r="A78">
        <v>0.17025101316218</v>
      </c>
      <c r="B78">
        <v>0.27129212101399502</v>
      </c>
      <c r="C78">
        <v>0.44700000000000001</v>
      </c>
      <c r="D78">
        <v>0.38500000000000001</v>
      </c>
      <c r="E78">
        <v>1</v>
      </c>
      <c r="F78" t="s">
        <v>727</v>
      </c>
      <c r="G78" t="s">
        <v>728</v>
      </c>
      <c r="H78" t="s">
        <v>727</v>
      </c>
      <c r="I78" t="str">
        <f>HYPERLINK("https://zfin.org/ZDB-GENE-030131-8541")</f>
        <v>https://zfin.org/ZDB-GENE-030131-8541</v>
      </c>
      <c r="J78" t="s">
        <v>726</v>
      </c>
    </row>
    <row r="79" spans="1:10" x14ac:dyDescent="0.2">
      <c r="A79">
        <v>0.171244219095015</v>
      </c>
      <c r="B79">
        <v>0.32388907087570401</v>
      </c>
      <c r="C79">
        <v>0.122</v>
      </c>
      <c r="D79">
        <v>7.2999999999999995E-2</v>
      </c>
      <c r="E79">
        <v>1</v>
      </c>
      <c r="F79" t="s">
        <v>3688</v>
      </c>
      <c r="G79" t="s">
        <v>3689</v>
      </c>
      <c r="H79" t="s">
        <v>3688</v>
      </c>
      <c r="I79" t="str">
        <f>HYPERLINK("https://zfin.org/ZDB-GENE-030131-2941")</f>
        <v>https://zfin.org/ZDB-GENE-030131-2941</v>
      </c>
      <c r="J79" t="s">
        <v>3687</v>
      </c>
    </row>
    <row r="80" spans="1:10" x14ac:dyDescent="0.2">
      <c r="A80">
        <v>0.17757117254270999</v>
      </c>
      <c r="B80">
        <v>0.29651602121876502</v>
      </c>
      <c r="C80">
        <v>0.40699999999999997</v>
      </c>
      <c r="D80">
        <v>0.35799999999999998</v>
      </c>
      <c r="E80">
        <v>1</v>
      </c>
      <c r="F80" t="s">
        <v>3602</v>
      </c>
      <c r="G80" t="s">
        <v>3603</v>
      </c>
      <c r="H80" t="s">
        <v>3602</v>
      </c>
      <c r="I80" t="str">
        <f>HYPERLINK("https://zfin.org/ZDB-GENE-011205-9")</f>
        <v>https://zfin.org/ZDB-GENE-011205-9</v>
      </c>
      <c r="J80" t="s">
        <v>3601</v>
      </c>
    </row>
    <row r="81" spans="1:10" x14ac:dyDescent="0.2">
      <c r="A81">
        <v>0.19469265371012301</v>
      </c>
      <c r="B81">
        <v>0.26235218002660499</v>
      </c>
      <c r="C81">
        <v>0.17100000000000001</v>
      </c>
      <c r="D81">
        <v>0.11899999999999999</v>
      </c>
      <c r="E81">
        <v>1</v>
      </c>
      <c r="F81" t="s">
        <v>3685</v>
      </c>
      <c r="G81" t="s">
        <v>3686</v>
      </c>
      <c r="H81" t="s">
        <v>3685</v>
      </c>
      <c r="I81" t="str">
        <f>HYPERLINK("https://zfin.org/ZDB-GENE-000210-13")</f>
        <v>https://zfin.org/ZDB-GENE-000210-13</v>
      </c>
      <c r="J81" t="s">
        <v>3684</v>
      </c>
    </row>
    <row r="82" spans="1:10" x14ac:dyDescent="0.2">
      <c r="A82">
        <v>0.19619052118923799</v>
      </c>
      <c r="B82">
        <v>0.25131430032462299</v>
      </c>
      <c r="C82">
        <v>0.22800000000000001</v>
      </c>
      <c r="D82">
        <v>0.17399999999999999</v>
      </c>
      <c r="E82">
        <v>1</v>
      </c>
      <c r="F82" t="s">
        <v>3584</v>
      </c>
      <c r="G82" t="s">
        <v>3585</v>
      </c>
      <c r="H82" t="s">
        <v>3584</v>
      </c>
      <c r="I82" t="str">
        <f>HYPERLINK("https://zfin.org/ZDB-GENE-021115-6")</f>
        <v>https://zfin.org/ZDB-GENE-021115-6</v>
      </c>
      <c r="J82" t="s">
        <v>3583</v>
      </c>
    </row>
    <row r="83" spans="1:10" x14ac:dyDescent="0.2">
      <c r="A83">
        <v>0.19991392250575399</v>
      </c>
      <c r="B83">
        <v>0.36484077917555502</v>
      </c>
      <c r="C83">
        <v>0.13</v>
      </c>
      <c r="D83">
        <v>8.3000000000000004E-2</v>
      </c>
      <c r="E83">
        <v>1</v>
      </c>
      <c r="F83" t="s">
        <v>2785</v>
      </c>
      <c r="G83" t="s">
        <v>2784</v>
      </c>
      <c r="H83" t="s">
        <v>2776</v>
      </c>
      <c r="I83" t="str">
        <f>HYPERLINK("https://zfin.org/ZDB-GENE-060815-1")</f>
        <v>https://zfin.org/ZDB-GENE-060815-1</v>
      </c>
      <c r="J83" t="s">
        <v>2775</v>
      </c>
    </row>
    <row r="84" spans="1:10" x14ac:dyDescent="0.2">
      <c r="A84">
        <v>0.206011279010788</v>
      </c>
      <c r="B84">
        <v>0.33483131614824602</v>
      </c>
      <c r="C84">
        <v>0.34100000000000003</v>
      </c>
      <c r="D84">
        <v>0.30299999999999999</v>
      </c>
      <c r="E84">
        <v>1</v>
      </c>
      <c r="F84" t="s">
        <v>1143</v>
      </c>
      <c r="G84" t="s">
        <v>1144</v>
      </c>
      <c r="H84" t="s">
        <v>1143</v>
      </c>
      <c r="I84" t="str">
        <f>HYPERLINK("https://zfin.org/ZDB-GENE-030131-6757")</f>
        <v>https://zfin.org/ZDB-GENE-030131-6757</v>
      </c>
      <c r="J84" t="s">
        <v>1142</v>
      </c>
    </row>
    <row r="85" spans="1:10" x14ac:dyDescent="0.2">
      <c r="A85">
        <v>0.20759124449014199</v>
      </c>
      <c r="B85">
        <v>0.32789103274781101</v>
      </c>
      <c r="C85">
        <v>0.106</v>
      </c>
      <c r="D85">
        <v>6.4000000000000001E-2</v>
      </c>
      <c r="E85">
        <v>1</v>
      </c>
      <c r="F85" t="s">
        <v>2811</v>
      </c>
      <c r="G85" t="s">
        <v>2812</v>
      </c>
      <c r="H85" t="s">
        <v>2811</v>
      </c>
      <c r="I85" t="str">
        <f>HYPERLINK("https://zfin.org/ZDB-GENE-050419-204")</f>
        <v>https://zfin.org/ZDB-GENE-050419-204</v>
      </c>
      <c r="J85" t="s">
        <v>2810</v>
      </c>
    </row>
    <row r="86" spans="1:10" x14ac:dyDescent="0.2">
      <c r="A86">
        <v>0.21282259969095399</v>
      </c>
      <c r="B86">
        <v>0.251074893447158</v>
      </c>
      <c r="C86">
        <v>0.17100000000000001</v>
      </c>
      <c r="D86">
        <v>0.11899999999999999</v>
      </c>
      <c r="E86">
        <v>1</v>
      </c>
      <c r="F86" t="s">
        <v>3682</v>
      </c>
      <c r="G86" t="s">
        <v>3683</v>
      </c>
      <c r="H86" t="s">
        <v>3682</v>
      </c>
      <c r="I86" t="str">
        <f>HYPERLINK("https://zfin.org/ZDB-GENE-070410-115")</f>
        <v>https://zfin.org/ZDB-GENE-070410-115</v>
      </c>
      <c r="J86" t="s">
        <v>3681</v>
      </c>
    </row>
    <row r="87" spans="1:10" x14ac:dyDescent="0.2">
      <c r="A87">
        <v>0.21641869973918401</v>
      </c>
      <c r="B87">
        <v>0.25547962489220899</v>
      </c>
      <c r="C87">
        <v>0.32500000000000001</v>
      </c>
      <c r="D87">
        <v>0.29399999999999998</v>
      </c>
      <c r="E87">
        <v>1</v>
      </c>
      <c r="F87" t="s">
        <v>3679</v>
      </c>
      <c r="G87" t="s">
        <v>3680</v>
      </c>
      <c r="H87" t="s">
        <v>3679</v>
      </c>
      <c r="I87" t="str">
        <f>HYPERLINK("https://zfin.org/ZDB-GENE-070410-113")</f>
        <v>https://zfin.org/ZDB-GENE-070410-113</v>
      </c>
      <c r="J87" t="s">
        <v>3678</v>
      </c>
    </row>
    <row r="88" spans="1:10" x14ac:dyDescent="0.2">
      <c r="A88">
        <v>0.22764581041722701</v>
      </c>
      <c r="B88">
        <v>0.361784237173498</v>
      </c>
      <c r="C88">
        <v>0.154</v>
      </c>
      <c r="D88">
        <v>0.11</v>
      </c>
      <c r="E88">
        <v>1</v>
      </c>
      <c r="F88" t="s">
        <v>3676</v>
      </c>
      <c r="G88" t="s">
        <v>3677</v>
      </c>
      <c r="H88" t="s">
        <v>3676</v>
      </c>
      <c r="I88" t="str">
        <f>HYPERLINK("https://zfin.org/")</f>
        <v>https://zfin.org/</v>
      </c>
      <c r="J88" t="s">
        <v>3675</v>
      </c>
    </row>
    <row r="89" spans="1:10" x14ac:dyDescent="0.2">
      <c r="A89">
        <v>0.242956485847653</v>
      </c>
      <c r="B89">
        <v>0.26868689453480699</v>
      </c>
      <c r="C89">
        <v>0.21099999999999999</v>
      </c>
      <c r="D89">
        <v>0.16500000000000001</v>
      </c>
      <c r="E89">
        <v>1</v>
      </c>
      <c r="F89" t="s">
        <v>2895</v>
      </c>
      <c r="G89" t="s">
        <v>2896</v>
      </c>
      <c r="H89" t="s">
        <v>2895</v>
      </c>
      <c r="I89" t="str">
        <f>HYPERLINK("https://zfin.org/ZDB-GENE-040625-55")</f>
        <v>https://zfin.org/ZDB-GENE-040625-55</v>
      </c>
      <c r="J89" t="s">
        <v>2894</v>
      </c>
    </row>
    <row r="90" spans="1:10" x14ac:dyDescent="0.2">
      <c r="A90">
        <v>0.24905621889401799</v>
      </c>
      <c r="B90">
        <v>0.25278975788662</v>
      </c>
      <c r="C90">
        <v>0.374</v>
      </c>
      <c r="D90">
        <v>0.32100000000000001</v>
      </c>
      <c r="E90">
        <v>1</v>
      </c>
      <c r="F90" t="s">
        <v>3673</v>
      </c>
      <c r="G90" t="s">
        <v>3674</v>
      </c>
      <c r="H90" t="s">
        <v>3673</v>
      </c>
      <c r="I90" t="str">
        <f>HYPERLINK("https://zfin.org/ZDB-GENE-010724-7")</f>
        <v>https://zfin.org/ZDB-GENE-010724-7</v>
      </c>
      <c r="J90" t="s">
        <v>3672</v>
      </c>
    </row>
    <row r="91" spans="1:10" x14ac:dyDescent="0.2">
      <c r="A91">
        <v>0.26517878294722702</v>
      </c>
      <c r="B91">
        <v>0.31659184065126</v>
      </c>
      <c r="C91">
        <v>0.17100000000000001</v>
      </c>
      <c r="D91">
        <v>0.128</v>
      </c>
      <c r="E91">
        <v>1</v>
      </c>
      <c r="F91" t="s">
        <v>1346</v>
      </c>
      <c r="G91" t="s">
        <v>1347</v>
      </c>
      <c r="H91" t="s">
        <v>1346</v>
      </c>
      <c r="I91" t="str">
        <f>HYPERLINK("https://zfin.org/ZDB-GENE-980526-29")</f>
        <v>https://zfin.org/ZDB-GENE-980526-29</v>
      </c>
      <c r="J91" t="s">
        <v>1345</v>
      </c>
    </row>
    <row r="92" spans="1:10" x14ac:dyDescent="0.2">
      <c r="A92">
        <v>0.274198667572363</v>
      </c>
      <c r="B92">
        <v>0.293807204314675</v>
      </c>
      <c r="C92">
        <v>0.26800000000000002</v>
      </c>
      <c r="D92">
        <v>0.22</v>
      </c>
      <c r="E92">
        <v>1</v>
      </c>
      <c r="F92" t="s">
        <v>1821</v>
      </c>
      <c r="G92" t="s">
        <v>1822</v>
      </c>
      <c r="H92" t="s">
        <v>1821</v>
      </c>
      <c r="I92" t="str">
        <f>HYPERLINK("https://zfin.org/ZDB-GENE-120215-41")</f>
        <v>https://zfin.org/ZDB-GENE-120215-41</v>
      </c>
      <c r="J92" t="s">
        <v>1820</v>
      </c>
    </row>
    <row r="93" spans="1:10" x14ac:dyDescent="0.2">
      <c r="A93">
        <v>0.27583389044497703</v>
      </c>
      <c r="B93">
        <v>0.28810910531703599</v>
      </c>
      <c r="C93">
        <v>0.13</v>
      </c>
      <c r="D93">
        <v>9.1999999999999998E-2</v>
      </c>
      <c r="E93">
        <v>1</v>
      </c>
      <c r="F93" t="s">
        <v>3670</v>
      </c>
      <c r="G93" t="s">
        <v>3671</v>
      </c>
      <c r="H93" t="s">
        <v>3670</v>
      </c>
      <c r="I93" t="str">
        <f>HYPERLINK("https://zfin.org/ZDB-GENE-050517-31")</f>
        <v>https://zfin.org/ZDB-GENE-050517-31</v>
      </c>
      <c r="J93" t="s">
        <v>3669</v>
      </c>
    </row>
    <row r="94" spans="1:10" x14ac:dyDescent="0.2">
      <c r="A94">
        <v>0.28374952951225102</v>
      </c>
      <c r="B94">
        <v>0.29245700733968599</v>
      </c>
      <c r="C94">
        <v>0.252</v>
      </c>
      <c r="D94">
        <v>0.21099999999999999</v>
      </c>
      <c r="E94">
        <v>1</v>
      </c>
      <c r="F94" t="s">
        <v>3667</v>
      </c>
      <c r="G94" t="s">
        <v>3668</v>
      </c>
      <c r="H94" t="s">
        <v>3667</v>
      </c>
      <c r="I94" t="str">
        <f>HYPERLINK("https://zfin.org/ZDB-GENE-040718-185")</f>
        <v>https://zfin.org/ZDB-GENE-040718-185</v>
      </c>
      <c r="J94" t="s">
        <v>3666</v>
      </c>
    </row>
    <row r="95" spans="1:10" x14ac:dyDescent="0.2">
      <c r="A95">
        <v>0.30814706625638899</v>
      </c>
      <c r="B95">
        <v>0.47432209481440002</v>
      </c>
      <c r="C95">
        <v>0.22</v>
      </c>
      <c r="D95">
        <v>0.17399999999999999</v>
      </c>
      <c r="E95">
        <v>1</v>
      </c>
      <c r="F95" t="s">
        <v>1397</v>
      </c>
      <c r="G95" t="s">
        <v>1398</v>
      </c>
      <c r="H95" t="s">
        <v>1397</v>
      </c>
      <c r="I95" t="str">
        <f>HYPERLINK("https://zfin.org/ZDB-GENE-110411-258")</f>
        <v>https://zfin.org/ZDB-GENE-110411-258</v>
      </c>
      <c r="J95" t="s">
        <v>1396</v>
      </c>
    </row>
    <row r="96" spans="1:10" x14ac:dyDescent="0.2">
      <c r="A96">
        <v>0.31241410036133099</v>
      </c>
      <c r="B96">
        <v>0.32996862277167499</v>
      </c>
      <c r="C96">
        <v>0.14599999999999999</v>
      </c>
      <c r="D96">
        <v>0.11</v>
      </c>
      <c r="E96">
        <v>1</v>
      </c>
      <c r="F96" t="s">
        <v>1337</v>
      </c>
      <c r="G96" t="s">
        <v>1338</v>
      </c>
      <c r="H96" t="s">
        <v>1337</v>
      </c>
      <c r="I96" t="str">
        <f>HYPERLINK("https://zfin.org/ZDB-GENE-110411-139")</f>
        <v>https://zfin.org/ZDB-GENE-110411-139</v>
      </c>
      <c r="J96" t="s">
        <v>1336</v>
      </c>
    </row>
    <row r="97" spans="1:10" x14ac:dyDescent="0.2">
      <c r="A97">
        <v>0.31626558986106001</v>
      </c>
      <c r="B97">
        <v>0.36440526709364601</v>
      </c>
      <c r="C97">
        <v>0.22</v>
      </c>
      <c r="D97">
        <v>0.183</v>
      </c>
      <c r="E97">
        <v>1</v>
      </c>
      <c r="F97" t="s">
        <v>1229</v>
      </c>
      <c r="G97" t="s">
        <v>1230</v>
      </c>
      <c r="H97" t="s">
        <v>1229</v>
      </c>
      <c r="I97" t="str">
        <f>HYPERLINK("https://zfin.org/ZDB-GENE-040426-1937")</f>
        <v>https://zfin.org/ZDB-GENE-040426-1937</v>
      </c>
      <c r="J97" t="s">
        <v>1228</v>
      </c>
    </row>
    <row r="98" spans="1:10" x14ac:dyDescent="0.2">
      <c r="A98">
        <v>0.32515057476457299</v>
      </c>
      <c r="B98">
        <v>0.26987670731138702</v>
      </c>
      <c r="C98">
        <v>0.187</v>
      </c>
      <c r="D98">
        <v>0.14699999999999999</v>
      </c>
      <c r="E98">
        <v>1</v>
      </c>
      <c r="F98" t="s">
        <v>3664</v>
      </c>
      <c r="G98" t="s">
        <v>3665</v>
      </c>
      <c r="H98" t="s">
        <v>3664</v>
      </c>
      <c r="I98" t="str">
        <f>HYPERLINK("https://zfin.org/ZDB-GENE-030804-10")</f>
        <v>https://zfin.org/ZDB-GENE-030804-10</v>
      </c>
      <c r="J98" t="s">
        <v>3663</v>
      </c>
    </row>
    <row r="99" spans="1:10" x14ac:dyDescent="0.2">
      <c r="A99">
        <v>0.34611451347308397</v>
      </c>
      <c r="B99">
        <v>0.269416617373543</v>
      </c>
      <c r="C99">
        <v>0.26800000000000002</v>
      </c>
      <c r="D99">
        <v>0.22900000000000001</v>
      </c>
      <c r="E99">
        <v>1</v>
      </c>
      <c r="F99" t="s">
        <v>3661</v>
      </c>
      <c r="G99" t="s">
        <v>3662</v>
      </c>
      <c r="H99" t="s">
        <v>3661</v>
      </c>
      <c r="I99" t="str">
        <f>HYPERLINK("https://zfin.org/ZDB-GENE-060503-941")</f>
        <v>https://zfin.org/ZDB-GENE-060503-941</v>
      </c>
      <c r="J99" t="s">
        <v>3660</v>
      </c>
    </row>
    <row r="100" spans="1:10" x14ac:dyDescent="0.2">
      <c r="A100">
        <v>0.35571090117788101</v>
      </c>
      <c r="B100">
        <v>0.29106571202766202</v>
      </c>
      <c r="C100">
        <v>0.24399999999999999</v>
      </c>
      <c r="D100">
        <v>0.21099999999999999</v>
      </c>
      <c r="E100">
        <v>1</v>
      </c>
      <c r="F100" t="s">
        <v>751</v>
      </c>
      <c r="G100" t="s">
        <v>752</v>
      </c>
      <c r="H100" t="s">
        <v>751</v>
      </c>
      <c r="I100" t="str">
        <f>HYPERLINK("https://zfin.org/ZDB-GENE-980526-280")</f>
        <v>https://zfin.org/ZDB-GENE-980526-280</v>
      </c>
      <c r="J100" t="s">
        <v>750</v>
      </c>
    </row>
    <row r="101" spans="1:10" x14ac:dyDescent="0.2">
      <c r="A101">
        <v>0.39065380721636001</v>
      </c>
      <c r="B101">
        <v>0.31191065837165</v>
      </c>
      <c r="C101">
        <v>0.14599999999999999</v>
      </c>
      <c r="D101">
        <v>0.11899999999999999</v>
      </c>
      <c r="E101">
        <v>1</v>
      </c>
      <c r="F101" t="s">
        <v>411</v>
      </c>
      <c r="G101" t="s">
        <v>412</v>
      </c>
      <c r="H101" t="s">
        <v>411</v>
      </c>
      <c r="I101" t="str">
        <f>HYPERLINK("https://zfin.org/")</f>
        <v>https://zfin.org/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C4F6D-79BC-EA4F-A7D0-8D333FDF81C6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3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7.7371888274199395E-9</v>
      </c>
      <c r="B2">
        <v>-0.59727669991411603</v>
      </c>
      <c r="C2">
        <v>0.95099999999999996</v>
      </c>
      <c r="D2">
        <v>1</v>
      </c>
      <c r="E2">
        <v>1.19794894614943E-4</v>
      </c>
      <c r="F2" t="s">
        <v>1485</v>
      </c>
      <c r="G2" t="s">
        <v>1486</v>
      </c>
      <c r="H2" t="s">
        <v>1485</v>
      </c>
      <c r="I2" t="str">
        <f>HYPERLINK("https://zfin.org/ZDB-GENE-070705-532")</f>
        <v>https://zfin.org/ZDB-GENE-070705-532</v>
      </c>
      <c r="J2" t="s">
        <v>1484</v>
      </c>
    </row>
    <row r="3" spans="1:10" x14ac:dyDescent="0.2">
      <c r="A3">
        <v>1.32867882212727E-6</v>
      </c>
      <c r="B3">
        <v>-0.60257065464168802</v>
      </c>
      <c r="C3">
        <v>0.52</v>
      </c>
      <c r="D3">
        <v>0.80700000000000005</v>
      </c>
      <c r="E3">
        <v>2.0571934202996502E-2</v>
      </c>
      <c r="F3" t="s">
        <v>1433</v>
      </c>
      <c r="G3" t="s">
        <v>1434</v>
      </c>
      <c r="H3" t="s">
        <v>1433</v>
      </c>
      <c r="I3" t="str">
        <f>HYPERLINK("https://zfin.org/ZDB-GENE-070720-11")</f>
        <v>https://zfin.org/ZDB-GENE-070720-11</v>
      </c>
      <c r="J3" t="s">
        <v>1432</v>
      </c>
    </row>
    <row r="4" spans="1:10" x14ac:dyDescent="0.2">
      <c r="A4">
        <v>1.39575342208653E-6</v>
      </c>
      <c r="B4">
        <v>-0.57687135581237803</v>
      </c>
      <c r="C4">
        <v>0.93500000000000005</v>
      </c>
      <c r="D4">
        <v>0.98199999999999998</v>
      </c>
      <c r="E4">
        <v>2.1610450234165701E-2</v>
      </c>
      <c r="F4" t="s">
        <v>177</v>
      </c>
      <c r="G4" t="s">
        <v>178</v>
      </c>
      <c r="H4" t="s">
        <v>177</v>
      </c>
      <c r="I4" t="str">
        <f>HYPERLINK("https://zfin.org/ZDB-GENE-111109-2")</f>
        <v>https://zfin.org/ZDB-GENE-111109-2</v>
      </c>
      <c r="J4" t="s">
        <v>179</v>
      </c>
    </row>
    <row r="5" spans="1:10" x14ac:dyDescent="0.2">
      <c r="A5">
        <v>2.3762969808107101E-6</v>
      </c>
      <c r="B5">
        <v>-0.61116706939555998</v>
      </c>
      <c r="C5">
        <v>0.187</v>
      </c>
      <c r="D5">
        <v>0.505</v>
      </c>
      <c r="E5">
        <v>3.6792206153892199E-2</v>
      </c>
      <c r="F5" t="s">
        <v>1307</v>
      </c>
      <c r="G5" t="s">
        <v>1308</v>
      </c>
      <c r="H5" t="s">
        <v>1307</v>
      </c>
      <c r="I5" t="str">
        <f>HYPERLINK("https://zfin.org/ZDB-GENE-040801-218")</f>
        <v>https://zfin.org/ZDB-GENE-040801-218</v>
      </c>
      <c r="J5" t="s">
        <v>1306</v>
      </c>
    </row>
    <row r="6" spans="1:10" x14ac:dyDescent="0.2">
      <c r="A6">
        <v>4.0029386889210001E-6</v>
      </c>
      <c r="B6">
        <v>-0.81509368332980803</v>
      </c>
      <c r="C6">
        <v>0.16300000000000001</v>
      </c>
      <c r="D6">
        <v>0.41299999999999998</v>
      </c>
      <c r="E6">
        <v>6.1977499720563801E-2</v>
      </c>
      <c r="F6" t="s">
        <v>2449</v>
      </c>
      <c r="G6" t="s">
        <v>2450</v>
      </c>
      <c r="H6" t="s">
        <v>2449</v>
      </c>
      <c r="I6" t="str">
        <f>HYPERLINK("https://zfin.org/ZDB-GENE-980526-112")</f>
        <v>https://zfin.org/ZDB-GENE-980526-112</v>
      </c>
      <c r="J6" t="s">
        <v>2448</v>
      </c>
    </row>
    <row r="7" spans="1:10" x14ac:dyDescent="0.2">
      <c r="A7">
        <v>6.3677742658218502E-6</v>
      </c>
      <c r="B7">
        <v>-0.49352081299711598</v>
      </c>
      <c r="C7">
        <v>0.21099999999999999</v>
      </c>
      <c r="D7">
        <v>0.495</v>
      </c>
      <c r="E7">
        <v>9.8592248957719703E-2</v>
      </c>
      <c r="F7" t="s">
        <v>3993</v>
      </c>
      <c r="G7" t="s">
        <v>3994</v>
      </c>
      <c r="H7" t="s">
        <v>3993</v>
      </c>
      <c r="I7" t="str">
        <f>HYPERLINK("https://zfin.org/ZDB-GENE-040426-1902")</f>
        <v>https://zfin.org/ZDB-GENE-040426-1902</v>
      </c>
      <c r="J7" t="s">
        <v>3992</v>
      </c>
    </row>
    <row r="8" spans="1:10" x14ac:dyDescent="0.2">
      <c r="A8">
        <v>8.8987847827948103E-6</v>
      </c>
      <c r="B8">
        <v>-0.52920204034520602</v>
      </c>
      <c r="C8">
        <v>0.26</v>
      </c>
      <c r="D8">
        <v>0.54100000000000004</v>
      </c>
      <c r="E8">
        <v>0.137779884792012</v>
      </c>
      <c r="F8" t="s">
        <v>2616</v>
      </c>
      <c r="G8" t="s">
        <v>2617</v>
      </c>
      <c r="H8" t="s">
        <v>2616</v>
      </c>
      <c r="I8" t="str">
        <f>HYPERLINK("https://zfin.org/")</f>
        <v>https://zfin.org/</v>
      </c>
    </row>
    <row r="9" spans="1:10" x14ac:dyDescent="0.2">
      <c r="A9">
        <v>4.1270020661456198E-5</v>
      </c>
      <c r="B9">
        <v>-0.4674227007997</v>
      </c>
      <c r="C9">
        <v>0.77200000000000002</v>
      </c>
      <c r="D9">
        <v>0.95399999999999996</v>
      </c>
      <c r="E9">
        <v>0.63898372990132601</v>
      </c>
      <c r="F9" t="s">
        <v>1415</v>
      </c>
      <c r="G9" t="s">
        <v>1416</v>
      </c>
      <c r="H9" t="s">
        <v>1415</v>
      </c>
      <c r="I9" t="str">
        <f>HYPERLINK("https://zfin.org/ZDB-GENE-030131-688")</f>
        <v>https://zfin.org/ZDB-GENE-030131-688</v>
      </c>
      <c r="J9" t="s">
        <v>1414</v>
      </c>
    </row>
    <row r="10" spans="1:10" x14ac:dyDescent="0.2">
      <c r="A10">
        <v>8.4543124619938697E-5</v>
      </c>
      <c r="B10">
        <v>-0.37303384653572902</v>
      </c>
      <c r="C10">
        <v>0.65</v>
      </c>
      <c r="D10">
        <v>0.86199999999999999</v>
      </c>
      <c r="E10">
        <v>1</v>
      </c>
      <c r="F10" t="s">
        <v>1455</v>
      </c>
      <c r="G10" t="s">
        <v>1456</v>
      </c>
      <c r="H10" t="s">
        <v>1455</v>
      </c>
      <c r="I10" t="str">
        <f>HYPERLINK("https://zfin.org/")</f>
        <v>https://zfin.org/</v>
      </c>
    </row>
    <row r="11" spans="1:10" x14ac:dyDescent="0.2">
      <c r="A11">
        <v>9.3104301933177497E-5</v>
      </c>
      <c r="B11">
        <v>-0.46045121025546198</v>
      </c>
      <c r="C11">
        <v>4.9000000000000002E-2</v>
      </c>
      <c r="D11">
        <v>0.22</v>
      </c>
      <c r="E11">
        <v>1</v>
      </c>
      <c r="F11" t="s">
        <v>3990</v>
      </c>
      <c r="G11" t="s">
        <v>3991</v>
      </c>
      <c r="H11" t="s">
        <v>3990</v>
      </c>
      <c r="I11" t="str">
        <f>HYPERLINK("https://zfin.org/ZDB-GENE-040912-155")</f>
        <v>https://zfin.org/ZDB-GENE-040912-155</v>
      </c>
      <c r="J11" t="s">
        <v>3989</v>
      </c>
    </row>
    <row r="12" spans="1:10" x14ac:dyDescent="0.2">
      <c r="A12">
        <v>1.13617757459075E-4</v>
      </c>
      <c r="B12">
        <v>-0.32580748245382801</v>
      </c>
      <c r="C12">
        <v>8.0000000000000002E-3</v>
      </c>
      <c r="D12">
        <v>0.13800000000000001</v>
      </c>
      <c r="E12">
        <v>1</v>
      </c>
      <c r="F12" t="s">
        <v>2868</v>
      </c>
      <c r="G12" t="s">
        <v>2869</v>
      </c>
      <c r="H12" t="s">
        <v>2868</v>
      </c>
      <c r="I12" t="str">
        <f>HYPERLINK("https://zfin.org/ZDB-GENE-060512-221")</f>
        <v>https://zfin.org/ZDB-GENE-060512-221</v>
      </c>
      <c r="J12" t="s">
        <v>2867</v>
      </c>
    </row>
    <row r="13" spans="1:10" x14ac:dyDescent="0.2">
      <c r="A13">
        <v>2.1267223381593001E-4</v>
      </c>
      <c r="B13">
        <v>-0.476656635525813</v>
      </c>
      <c r="C13">
        <v>1.6E-2</v>
      </c>
      <c r="D13">
        <v>0.14699999999999999</v>
      </c>
      <c r="E13">
        <v>1</v>
      </c>
      <c r="F13" t="s">
        <v>2416</v>
      </c>
      <c r="G13" t="s">
        <v>2417</v>
      </c>
      <c r="H13" t="s">
        <v>2416</v>
      </c>
      <c r="I13" t="str">
        <f>HYPERLINK("https://zfin.org/ZDB-GENE-020320-4")</f>
        <v>https://zfin.org/ZDB-GENE-020320-4</v>
      </c>
      <c r="J13" t="s">
        <v>2415</v>
      </c>
    </row>
    <row r="14" spans="1:10" x14ac:dyDescent="0.2">
      <c r="A14">
        <v>2.14186291223872E-4</v>
      </c>
      <c r="B14">
        <v>-0.41988974899424603</v>
      </c>
      <c r="C14">
        <v>2.4E-2</v>
      </c>
      <c r="D14">
        <v>0.16500000000000001</v>
      </c>
      <c r="E14">
        <v>1</v>
      </c>
      <c r="F14" t="s">
        <v>2407</v>
      </c>
      <c r="G14" t="s">
        <v>2408</v>
      </c>
      <c r="H14" t="s">
        <v>2407</v>
      </c>
      <c r="I14" t="str">
        <f>HYPERLINK("https://zfin.org/ZDB-GENE-980526-260")</f>
        <v>https://zfin.org/ZDB-GENE-980526-260</v>
      </c>
      <c r="J14" t="s">
        <v>2406</v>
      </c>
    </row>
    <row r="15" spans="1:10" x14ac:dyDescent="0.2">
      <c r="A15">
        <v>2.19871936064392E-4</v>
      </c>
      <c r="B15">
        <v>-0.45376561417376299</v>
      </c>
      <c r="C15">
        <v>1.6E-2</v>
      </c>
      <c r="D15">
        <v>0.14699999999999999</v>
      </c>
      <c r="E15">
        <v>1</v>
      </c>
      <c r="F15" t="s">
        <v>2337</v>
      </c>
      <c r="G15" t="s">
        <v>2338</v>
      </c>
      <c r="H15" t="s">
        <v>2337</v>
      </c>
      <c r="I15" t="str">
        <f>HYPERLINK("https://zfin.org/ZDB-GENE-991110-22")</f>
        <v>https://zfin.org/ZDB-GENE-991110-22</v>
      </c>
      <c r="J15" t="s">
        <v>2336</v>
      </c>
    </row>
    <row r="16" spans="1:10" x14ac:dyDescent="0.2">
      <c r="A16">
        <v>2.27299994660623E-4</v>
      </c>
      <c r="B16">
        <v>-0.32410367451462002</v>
      </c>
      <c r="C16">
        <v>1.6E-2</v>
      </c>
      <c r="D16">
        <v>0.14699999999999999</v>
      </c>
      <c r="E16">
        <v>1</v>
      </c>
      <c r="F16" t="s">
        <v>3987</v>
      </c>
      <c r="G16" t="s">
        <v>3988</v>
      </c>
      <c r="H16" t="s">
        <v>3987</v>
      </c>
      <c r="I16" t="str">
        <f>HYPERLINK("https://zfin.org/ZDB-GENE-030131-6192")</f>
        <v>https://zfin.org/ZDB-GENE-030131-6192</v>
      </c>
      <c r="J16" t="s">
        <v>3986</v>
      </c>
    </row>
    <row r="17" spans="1:10" x14ac:dyDescent="0.2">
      <c r="A17">
        <v>3.3517039660030899E-4</v>
      </c>
      <c r="B17">
        <v>-0.40014380144835898</v>
      </c>
      <c r="C17">
        <v>7.2999999999999995E-2</v>
      </c>
      <c r="D17">
        <v>0.248</v>
      </c>
      <c r="E17">
        <v>1</v>
      </c>
      <c r="F17" t="s">
        <v>3984</v>
      </c>
      <c r="G17" t="s">
        <v>3985</v>
      </c>
      <c r="H17" t="s">
        <v>3984</v>
      </c>
      <c r="I17" t="str">
        <f>HYPERLINK("https://zfin.org/ZDB-GENE-990415-173")</f>
        <v>https://zfin.org/ZDB-GENE-990415-173</v>
      </c>
      <c r="J17" t="s">
        <v>3983</v>
      </c>
    </row>
    <row r="18" spans="1:10" x14ac:dyDescent="0.2">
      <c r="A18">
        <v>3.3982986368216202E-4</v>
      </c>
      <c r="B18">
        <v>-0.41038479121674898</v>
      </c>
      <c r="C18">
        <v>5.7000000000000002E-2</v>
      </c>
      <c r="D18">
        <v>0.22</v>
      </c>
      <c r="E18">
        <v>1</v>
      </c>
      <c r="F18" t="s">
        <v>3981</v>
      </c>
      <c r="G18" t="s">
        <v>3982</v>
      </c>
      <c r="H18" t="s">
        <v>3981</v>
      </c>
      <c r="I18" t="str">
        <f>HYPERLINK("https://zfin.org/ZDB-GENE-040426-743")</f>
        <v>https://zfin.org/ZDB-GENE-040426-743</v>
      </c>
      <c r="J18" t="s">
        <v>3980</v>
      </c>
    </row>
    <row r="19" spans="1:10" x14ac:dyDescent="0.2">
      <c r="A19">
        <v>3.54966789502832E-4</v>
      </c>
      <c r="B19">
        <v>-0.73583274462689097</v>
      </c>
      <c r="C19">
        <v>0.29299999999999998</v>
      </c>
      <c r="D19">
        <v>0.47699999999999998</v>
      </c>
      <c r="E19">
        <v>1</v>
      </c>
      <c r="F19" t="s">
        <v>1391</v>
      </c>
      <c r="G19" t="s">
        <v>1392</v>
      </c>
      <c r="H19" t="s">
        <v>1391</v>
      </c>
      <c r="I19" t="str">
        <f>HYPERLINK("https://zfin.org/ZDB-GENE-040426-1430")</f>
        <v>https://zfin.org/ZDB-GENE-040426-1430</v>
      </c>
      <c r="J19" t="s">
        <v>1390</v>
      </c>
    </row>
    <row r="20" spans="1:10" x14ac:dyDescent="0.2">
      <c r="A20">
        <v>4.5355945441800602E-4</v>
      </c>
      <c r="B20">
        <v>-0.49407122994518798</v>
      </c>
      <c r="C20">
        <v>0.64200000000000002</v>
      </c>
      <c r="D20">
        <v>0.79800000000000004</v>
      </c>
      <c r="E20">
        <v>1</v>
      </c>
      <c r="F20" t="s">
        <v>1629</v>
      </c>
      <c r="G20" t="s">
        <v>1630</v>
      </c>
      <c r="H20" t="s">
        <v>1629</v>
      </c>
      <c r="I20" t="str">
        <f>HYPERLINK("https://zfin.org/ZDB-GENE-070424-74")</f>
        <v>https://zfin.org/ZDB-GENE-070424-74</v>
      </c>
      <c r="J20" t="s">
        <v>1628</v>
      </c>
    </row>
    <row r="21" spans="1:10" x14ac:dyDescent="0.2">
      <c r="A21">
        <v>4.9475772510217705E-4</v>
      </c>
      <c r="B21">
        <v>-0.33069901564168203</v>
      </c>
      <c r="C21">
        <v>0.13</v>
      </c>
      <c r="D21">
        <v>0.32100000000000001</v>
      </c>
      <c r="E21">
        <v>1</v>
      </c>
      <c r="F21" t="s">
        <v>3978</v>
      </c>
      <c r="G21" t="s">
        <v>3979</v>
      </c>
      <c r="H21" t="s">
        <v>3978</v>
      </c>
      <c r="I21" t="str">
        <f>HYPERLINK("https://zfin.org/ZDB-GENE-040426-2386")</f>
        <v>https://zfin.org/ZDB-GENE-040426-2386</v>
      </c>
      <c r="J21" t="s">
        <v>3977</v>
      </c>
    </row>
    <row r="22" spans="1:10" x14ac:dyDescent="0.2">
      <c r="A22">
        <v>4.9797815659720595E-4</v>
      </c>
      <c r="B22">
        <v>-0.374421973735245</v>
      </c>
      <c r="C22">
        <v>6.5000000000000002E-2</v>
      </c>
      <c r="D22">
        <v>0.22900000000000001</v>
      </c>
      <c r="E22">
        <v>1</v>
      </c>
      <c r="F22" t="s">
        <v>3975</v>
      </c>
      <c r="G22" t="s">
        <v>3976</v>
      </c>
      <c r="H22" t="s">
        <v>3975</v>
      </c>
      <c r="I22" t="str">
        <f>HYPERLINK("https://zfin.org/ZDB-GENE-120202-1")</f>
        <v>https://zfin.org/ZDB-GENE-120202-1</v>
      </c>
      <c r="J22" t="s">
        <v>3974</v>
      </c>
    </row>
    <row r="23" spans="1:10" x14ac:dyDescent="0.2">
      <c r="A23">
        <v>5.4838102008731096E-4</v>
      </c>
      <c r="B23">
        <v>-0.412555517457735</v>
      </c>
      <c r="C23">
        <v>0.21099999999999999</v>
      </c>
      <c r="D23">
        <v>0.43099999999999999</v>
      </c>
      <c r="E23">
        <v>1</v>
      </c>
      <c r="F23" t="s">
        <v>2349</v>
      </c>
      <c r="G23" t="s">
        <v>2350</v>
      </c>
      <c r="H23" t="s">
        <v>2349</v>
      </c>
      <c r="I23" t="str">
        <f>HYPERLINK("https://zfin.org/ZDB-GENE-000831-5")</f>
        <v>https://zfin.org/ZDB-GENE-000831-5</v>
      </c>
      <c r="J23" t="s">
        <v>2348</v>
      </c>
    </row>
    <row r="24" spans="1:10" x14ac:dyDescent="0.2">
      <c r="A24">
        <v>6.6345252352241198E-4</v>
      </c>
      <c r="B24">
        <v>-0.48531302435159801</v>
      </c>
      <c r="C24">
        <v>8.1000000000000003E-2</v>
      </c>
      <c r="D24">
        <v>0.248</v>
      </c>
      <c r="E24">
        <v>1</v>
      </c>
      <c r="F24" t="s">
        <v>2422</v>
      </c>
      <c r="G24" t="s">
        <v>2423</v>
      </c>
      <c r="H24" t="s">
        <v>2422</v>
      </c>
      <c r="I24" t="str">
        <f>HYPERLINK("https://zfin.org/ZDB-GENE-111004-2")</f>
        <v>https://zfin.org/ZDB-GENE-111004-2</v>
      </c>
      <c r="J24" t="s">
        <v>2421</v>
      </c>
    </row>
    <row r="25" spans="1:10" x14ac:dyDescent="0.2">
      <c r="A25">
        <v>6.7363388444891101E-4</v>
      </c>
      <c r="B25">
        <v>-0.43685775415967099</v>
      </c>
      <c r="C25">
        <v>0.122</v>
      </c>
      <c r="D25">
        <v>0.29399999999999998</v>
      </c>
      <c r="E25">
        <v>1</v>
      </c>
      <c r="F25" t="s">
        <v>3972</v>
      </c>
      <c r="G25" t="s">
        <v>3973</v>
      </c>
      <c r="H25" t="s">
        <v>3972</v>
      </c>
      <c r="I25" t="str">
        <f>HYPERLINK("https://zfin.org/ZDB-GENE-040426-949")</f>
        <v>https://zfin.org/ZDB-GENE-040426-949</v>
      </c>
      <c r="J25" t="s">
        <v>3971</v>
      </c>
    </row>
    <row r="26" spans="1:10" x14ac:dyDescent="0.2">
      <c r="A26">
        <v>6.7423606790156896E-4</v>
      </c>
      <c r="B26">
        <v>-0.34707767497930497</v>
      </c>
      <c r="C26">
        <v>0.93500000000000005</v>
      </c>
      <c r="D26">
        <v>0.95399999999999996</v>
      </c>
      <c r="E26">
        <v>1</v>
      </c>
      <c r="F26" t="s">
        <v>34</v>
      </c>
      <c r="G26" t="s">
        <v>35</v>
      </c>
      <c r="H26" t="s">
        <v>34</v>
      </c>
      <c r="I26" t="str">
        <f>HYPERLINK("https://zfin.org/ZDB-GENE-030131-3532")</f>
        <v>https://zfin.org/ZDB-GENE-030131-3532</v>
      </c>
      <c r="J26" t="s">
        <v>36</v>
      </c>
    </row>
    <row r="27" spans="1:10" x14ac:dyDescent="0.2">
      <c r="A27">
        <v>7.8881223617673503E-4</v>
      </c>
      <c r="B27">
        <v>-0.29607402969047403</v>
      </c>
      <c r="C27">
        <v>0.87</v>
      </c>
      <c r="D27">
        <v>0.95399999999999996</v>
      </c>
      <c r="E27">
        <v>1</v>
      </c>
      <c r="F27" t="s">
        <v>2024</v>
      </c>
      <c r="G27" t="s">
        <v>2025</v>
      </c>
      <c r="H27" t="s">
        <v>2024</v>
      </c>
      <c r="I27" t="str">
        <f>HYPERLINK("https://zfin.org/ZDB-GENE-030411-5")</f>
        <v>https://zfin.org/ZDB-GENE-030411-5</v>
      </c>
      <c r="J27" t="s">
        <v>2023</v>
      </c>
    </row>
    <row r="28" spans="1:10" x14ac:dyDescent="0.2">
      <c r="A28">
        <v>8.3012789347373104E-4</v>
      </c>
      <c r="B28">
        <v>-0.363997459338258</v>
      </c>
      <c r="C28">
        <v>0.20300000000000001</v>
      </c>
      <c r="D28">
        <v>0.41299999999999998</v>
      </c>
      <c r="E28">
        <v>1</v>
      </c>
      <c r="F28" t="s">
        <v>3581</v>
      </c>
      <c r="G28" t="s">
        <v>3582</v>
      </c>
      <c r="H28" t="s">
        <v>3581</v>
      </c>
      <c r="I28" t="str">
        <f>HYPERLINK("https://zfin.org/ZDB-GENE-090313-116")</f>
        <v>https://zfin.org/ZDB-GENE-090313-116</v>
      </c>
      <c r="J28" t="s">
        <v>3580</v>
      </c>
    </row>
    <row r="29" spans="1:10" x14ac:dyDescent="0.2">
      <c r="A29">
        <v>8.6829282497315305E-4</v>
      </c>
      <c r="B29">
        <v>-0.25153092438261798</v>
      </c>
      <c r="C29">
        <v>6.5000000000000002E-2</v>
      </c>
      <c r="D29">
        <v>0.22</v>
      </c>
      <c r="E29">
        <v>1</v>
      </c>
      <c r="F29" t="s">
        <v>3969</v>
      </c>
      <c r="G29" t="s">
        <v>3970</v>
      </c>
      <c r="H29" t="s">
        <v>3969</v>
      </c>
      <c r="I29" t="str">
        <f>HYPERLINK("https://zfin.org/ZDB-GENE-030131-5097")</f>
        <v>https://zfin.org/ZDB-GENE-030131-5097</v>
      </c>
      <c r="J29" t="s">
        <v>3968</v>
      </c>
    </row>
    <row r="30" spans="1:10" x14ac:dyDescent="0.2">
      <c r="A30">
        <v>8.7770714381776003E-4</v>
      </c>
      <c r="B30">
        <v>-0.384161444546472</v>
      </c>
      <c r="C30">
        <v>0.56899999999999995</v>
      </c>
      <c r="D30">
        <v>0.74299999999999999</v>
      </c>
      <c r="E30">
        <v>1</v>
      </c>
      <c r="F30" t="s">
        <v>1683</v>
      </c>
      <c r="G30" t="s">
        <v>1684</v>
      </c>
      <c r="H30" t="s">
        <v>1683</v>
      </c>
      <c r="I30" t="str">
        <f>HYPERLINK("https://zfin.org/ZDB-GENE-030411-6")</f>
        <v>https://zfin.org/ZDB-GENE-030411-6</v>
      </c>
      <c r="J30" t="s">
        <v>1682</v>
      </c>
    </row>
    <row r="31" spans="1:10" x14ac:dyDescent="0.2">
      <c r="A31">
        <v>8.91414346089976E-4</v>
      </c>
      <c r="B31">
        <v>-0.31749023143071597</v>
      </c>
      <c r="C31">
        <v>5.7000000000000002E-2</v>
      </c>
      <c r="D31">
        <v>0.20200000000000001</v>
      </c>
      <c r="E31">
        <v>1</v>
      </c>
      <c r="F31" t="s">
        <v>3966</v>
      </c>
      <c r="G31" t="s">
        <v>3967</v>
      </c>
      <c r="H31" t="s">
        <v>3966</v>
      </c>
      <c r="I31" t="str">
        <f>HYPERLINK("https://zfin.org/ZDB-GENE-040808-37")</f>
        <v>https://zfin.org/ZDB-GENE-040808-37</v>
      </c>
      <c r="J31" t="s">
        <v>3965</v>
      </c>
    </row>
    <row r="32" spans="1:10" x14ac:dyDescent="0.2">
      <c r="A32">
        <v>8.9555470620604201E-4</v>
      </c>
      <c r="B32">
        <v>-0.31181625530509099</v>
      </c>
      <c r="C32">
        <v>0.19500000000000001</v>
      </c>
      <c r="D32">
        <v>0.39400000000000002</v>
      </c>
      <c r="E32">
        <v>1</v>
      </c>
      <c r="F32" t="s">
        <v>3963</v>
      </c>
      <c r="G32" t="s">
        <v>3964</v>
      </c>
      <c r="H32" t="s">
        <v>3963</v>
      </c>
      <c r="I32" t="str">
        <f>HYPERLINK("https://zfin.org/ZDB-GENE-050306-50")</f>
        <v>https://zfin.org/ZDB-GENE-050306-50</v>
      </c>
      <c r="J32" t="s">
        <v>3962</v>
      </c>
    </row>
    <row r="33" spans="1:10" x14ac:dyDescent="0.2">
      <c r="A33">
        <v>1.2454445079067801E-3</v>
      </c>
      <c r="B33">
        <v>-0.282319503043716</v>
      </c>
      <c r="C33">
        <v>0.122</v>
      </c>
      <c r="D33">
        <v>0.30299999999999999</v>
      </c>
      <c r="E33">
        <v>1</v>
      </c>
      <c r="F33" t="s">
        <v>3960</v>
      </c>
      <c r="G33" t="s">
        <v>3961</v>
      </c>
      <c r="H33" t="s">
        <v>3960</v>
      </c>
      <c r="I33" t="str">
        <f>HYPERLINK("https://zfin.org/ZDB-GENE-040801-65")</f>
        <v>https://zfin.org/ZDB-GENE-040801-65</v>
      </c>
      <c r="J33" t="s">
        <v>3959</v>
      </c>
    </row>
    <row r="34" spans="1:10" x14ac:dyDescent="0.2">
      <c r="A34">
        <v>1.2801795234145901E-3</v>
      </c>
      <c r="B34">
        <v>-0.27971532435256002</v>
      </c>
      <c r="C34">
        <v>5.7000000000000002E-2</v>
      </c>
      <c r="D34">
        <v>0.20200000000000001</v>
      </c>
      <c r="E34">
        <v>1</v>
      </c>
      <c r="F34" t="s">
        <v>2377</v>
      </c>
      <c r="G34" t="s">
        <v>2378</v>
      </c>
      <c r="H34" t="s">
        <v>2377</v>
      </c>
      <c r="I34" t="str">
        <f>HYPERLINK("https://zfin.org/ZDB-GENE-060929-528")</f>
        <v>https://zfin.org/ZDB-GENE-060929-528</v>
      </c>
      <c r="J34" t="s">
        <v>2376</v>
      </c>
    </row>
    <row r="35" spans="1:10" x14ac:dyDescent="0.2">
      <c r="A35">
        <v>1.40160585646784E-3</v>
      </c>
      <c r="B35">
        <v>-0.27004211359179697</v>
      </c>
      <c r="C35">
        <v>2.4E-2</v>
      </c>
      <c r="D35">
        <v>0.13800000000000001</v>
      </c>
      <c r="E35">
        <v>1</v>
      </c>
      <c r="F35" t="s">
        <v>3957</v>
      </c>
      <c r="G35" t="s">
        <v>3958</v>
      </c>
      <c r="H35" t="s">
        <v>3957</v>
      </c>
      <c r="I35" t="str">
        <f>HYPERLINK("https://zfin.org/ZDB-GENE-040426-1492")</f>
        <v>https://zfin.org/ZDB-GENE-040426-1492</v>
      </c>
      <c r="J35" t="s">
        <v>3956</v>
      </c>
    </row>
    <row r="36" spans="1:10" x14ac:dyDescent="0.2">
      <c r="A36">
        <v>1.6110420951361501E-3</v>
      </c>
      <c r="B36">
        <v>-0.30367645158786399</v>
      </c>
      <c r="C36">
        <v>8.8999999999999996E-2</v>
      </c>
      <c r="D36">
        <v>0.248</v>
      </c>
      <c r="E36">
        <v>1</v>
      </c>
      <c r="F36" t="s">
        <v>3954</v>
      </c>
      <c r="G36" t="s">
        <v>3955</v>
      </c>
      <c r="H36" t="s">
        <v>3954</v>
      </c>
      <c r="I36" t="str">
        <f>HYPERLINK("https://zfin.org/ZDB-GENE-030131-6372")</f>
        <v>https://zfin.org/ZDB-GENE-030131-6372</v>
      </c>
      <c r="J36" t="s">
        <v>3953</v>
      </c>
    </row>
    <row r="37" spans="1:10" x14ac:dyDescent="0.2">
      <c r="A37">
        <v>1.66450944928577E-3</v>
      </c>
      <c r="B37">
        <v>-0.37710999044669302</v>
      </c>
      <c r="C37">
        <v>9.8000000000000004E-2</v>
      </c>
      <c r="D37">
        <v>0.248</v>
      </c>
      <c r="E37">
        <v>1</v>
      </c>
      <c r="F37" t="s">
        <v>3951</v>
      </c>
      <c r="G37" t="s">
        <v>3952</v>
      </c>
      <c r="H37" t="s">
        <v>3951</v>
      </c>
      <c r="I37" t="str">
        <f>HYPERLINK("https://zfin.org/ZDB-GENE-050208-567")</f>
        <v>https://zfin.org/ZDB-GENE-050208-567</v>
      </c>
      <c r="J37" t="s">
        <v>3950</v>
      </c>
    </row>
    <row r="38" spans="1:10" x14ac:dyDescent="0.2">
      <c r="A38">
        <v>1.8039825299622E-3</v>
      </c>
      <c r="B38">
        <v>-0.40900597325941301</v>
      </c>
      <c r="C38">
        <v>4.9000000000000002E-2</v>
      </c>
      <c r="D38">
        <v>0.17399999999999999</v>
      </c>
      <c r="E38">
        <v>1</v>
      </c>
      <c r="F38" t="s">
        <v>3948</v>
      </c>
      <c r="G38" t="s">
        <v>3949</v>
      </c>
      <c r="H38" t="s">
        <v>3948</v>
      </c>
      <c r="I38" t="str">
        <f>HYPERLINK("https://zfin.org/ZDB-GENE-050626-97")</f>
        <v>https://zfin.org/ZDB-GENE-050626-97</v>
      </c>
      <c r="J38" t="s">
        <v>3947</v>
      </c>
    </row>
    <row r="39" spans="1:10" x14ac:dyDescent="0.2">
      <c r="A39">
        <v>1.81542214699357E-3</v>
      </c>
      <c r="B39">
        <v>-0.37863460049321801</v>
      </c>
      <c r="C39">
        <v>0.30099999999999999</v>
      </c>
      <c r="D39">
        <v>0.48599999999999999</v>
      </c>
      <c r="E39">
        <v>1</v>
      </c>
      <c r="F39" t="s">
        <v>3945</v>
      </c>
      <c r="G39" t="s">
        <v>3946</v>
      </c>
      <c r="H39" t="s">
        <v>3945</v>
      </c>
      <c r="I39" t="str">
        <f>HYPERLINK("https://zfin.org/ZDB-GENE-050506-106")</f>
        <v>https://zfin.org/ZDB-GENE-050506-106</v>
      </c>
      <c r="J39" t="s">
        <v>3944</v>
      </c>
    </row>
    <row r="40" spans="1:10" x14ac:dyDescent="0.2">
      <c r="A40">
        <v>2.1089363580443798E-3</v>
      </c>
      <c r="B40">
        <v>-0.37990663326871499</v>
      </c>
      <c r="C40">
        <v>0.45500000000000002</v>
      </c>
      <c r="D40">
        <v>0.67900000000000005</v>
      </c>
      <c r="E40">
        <v>1</v>
      </c>
      <c r="F40" t="s">
        <v>1461</v>
      </c>
      <c r="G40" t="s">
        <v>1462</v>
      </c>
      <c r="H40" t="s">
        <v>1461</v>
      </c>
      <c r="I40" t="str">
        <f>HYPERLINK("https://zfin.org/ZDB-GENE-980605-16")</f>
        <v>https://zfin.org/ZDB-GENE-980605-16</v>
      </c>
      <c r="J40" t="s">
        <v>1460</v>
      </c>
    </row>
    <row r="41" spans="1:10" x14ac:dyDescent="0.2">
      <c r="A41">
        <v>2.11635139738762E-3</v>
      </c>
      <c r="B41">
        <v>-0.28426835720743099</v>
      </c>
      <c r="C41">
        <v>4.9000000000000002E-2</v>
      </c>
      <c r="D41">
        <v>0.17399999999999999</v>
      </c>
      <c r="E41">
        <v>1</v>
      </c>
      <c r="F41" t="s">
        <v>3942</v>
      </c>
      <c r="G41" t="s">
        <v>3943</v>
      </c>
      <c r="H41" t="s">
        <v>3942</v>
      </c>
      <c r="I41" t="str">
        <f>HYPERLINK("https://zfin.org/ZDB-GENE-030131-2348")</f>
        <v>https://zfin.org/ZDB-GENE-030131-2348</v>
      </c>
      <c r="J41" t="s">
        <v>3941</v>
      </c>
    </row>
    <row r="42" spans="1:10" x14ac:dyDescent="0.2">
      <c r="A42">
        <v>2.3197244657102399E-3</v>
      </c>
      <c r="B42">
        <v>-0.354733127997296</v>
      </c>
      <c r="C42">
        <v>0.22800000000000001</v>
      </c>
      <c r="D42">
        <v>0.43099999999999999</v>
      </c>
      <c r="E42">
        <v>1</v>
      </c>
      <c r="F42" t="s">
        <v>3939</v>
      </c>
      <c r="G42" t="s">
        <v>3940</v>
      </c>
      <c r="H42" t="s">
        <v>3939</v>
      </c>
      <c r="I42" t="str">
        <f>HYPERLINK("https://zfin.org/ZDB-GENE-070705-255")</f>
        <v>https://zfin.org/ZDB-GENE-070705-255</v>
      </c>
      <c r="J42" t="s">
        <v>3938</v>
      </c>
    </row>
    <row r="43" spans="1:10" x14ac:dyDescent="0.2">
      <c r="A43">
        <v>2.6505102222682399E-3</v>
      </c>
      <c r="B43">
        <v>-0.34960420705758299</v>
      </c>
      <c r="C43">
        <v>0.17100000000000001</v>
      </c>
      <c r="D43">
        <v>0.33900000000000002</v>
      </c>
      <c r="E43">
        <v>1</v>
      </c>
      <c r="F43" t="s">
        <v>3936</v>
      </c>
      <c r="G43" t="s">
        <v>3937</v>
      </c>
      <c r="H43" t="s">
        <v>3936</v>
      </c>
      <c r="I43" t="str">
        <f>HYPERLINK("https://zfin.org/ZDB-GENE-030131-1414")</f>
        <v>https://zfin.org/ZDB-GENE-030131-1414</v>
      </c>
      <c r="J43" t="s">
        <v>3935</v>
      </c>
    </row>
    <row r="44" spans="1:10" x14ac:dyDescent="0.2">
      <c r="A44">
        <v>2.7007255652618301E-3</v>
      </c>
      <c r="B44">
        <v>-0.34204985736267102</v>
      </c>
      <c r="C44">
        <v>8.1000000000000003E-2</v>
      </c>
      <c r="D44">
        <v>0.22</v>
      </c>
      <c r="E44">
        <v>1</v>
      </c>
      <c r="F44" t="s">
        <v>3933</v>
      </c>
      <c r="G44" t="s">
        <v>3934</v>
      </c>
      <c r="H44" t="s">
        <v>3933</v>
      </c>
      <c r="I44" t="str">
        <f>HYPERLINK("https://zfin.org/ZDB-GENE-031031-4")</f>
        <v>https://zfin.org/ZDB-GENE-031031-4</v>
      </c>
      <c r="J44" t="s">
        <v>3932</v>
      </c>
    </row>
    <row r="45" spans="1:10" x14ac:dyDescent="0.2">
      <c r="A45">
        <v>2.7738422249172102E-3</v>
      </c>
      <c r="B45">
        <v>-0.27081602742759697</v>
      </c>
      <c r="C45">
        <v>5.7000000000000002E-2</v>
      </c>
      <c r="D45">
        <v>0.183</v>
      </c>
      <c r="E45">
        <v>1</v>
      </c>
      <c r="F45" t="s">
        <v>3930</v>
      </c>
      <c r="G45" t="s">
        <v>3931</v>
      </c>
      <c r="H45" t="s">
        <v>3930</v>
      </c>
      <c r="I45" t="str">
        <f>HYPERLINK("https://zfin.org/ZDB-GENE-060929-1034")</f>
        <v>https://zfin.org/ZDB-GENE-060929-1034</v>
      </c>
      <c r="J45" t="s">
        <v>3929</v>
      </c>
    </row>
    <row r="46" spans="1:10" x14ac:dyDescent="0.2">
      <c r="A46">
        <v>2.8956385437832002E-3</v>
      </c>
      <c r="B46">
        <v>-0.29877762170926098</v>
      </c>
      <c r="C46">
        <v>0.114</v>
      </c>
      <c r="D46">
        <v>0.26600000000000001</v>
      </c>
      <c r="E46">
        <v>1</v>
      </c>
      <c r="F46" t="s">
        <v>3927</v>
      </c>
      <c r="G46" t="s">
        <v>3928</v>
      </c>
      <c r="H46" t="s">
        <v>3927</v>
      </c>
      <c r="I46" t="str">
        <f>HYPERLINK("https://zfin.org/ZDB-GENE-041114-91")</f>
        <v>https://zfin.org/ZDB-GENE-041114-91</v>
      </c>
      <c r="J46" t="s">
        <v>3926</v>
      </c>
    </row>
    <row r="47" spans="1:10" x14ac:dyDescent="0.2">
      <c r="A47">
        <v>3.09839073781484E-3</v>
      </c>
      <c r="B47">
        <v>-0.31493802278605099</v>
      </c>
      <c r="C47">
        <v>9.8000000000000004E-2</v>
      </c>
      <c r="D47">
        <v>0.248</v>
      </c>
      <c r="E47">
        <v>1</v>
      </c>
      <c r="F47" t="s">
        <v>2434</v>
      </c>
      <c r="G47" t="s">
        <v>2435</v>
      </c>
      <c r="H47" t="s">
        <v>2434</v>
      </c>
      <c r="I47" t="str">
        <f>HYPERLINK("https://zfin.org/ZDB-GENE-090313-161")</f>
        <v>https://zfin.org/ZDB-GENE-090313-161</v>
      </c>
      <c r="J47" t="s">
        <v>2433</v>
      </c>
    </row>
    <row r="48" spans="1:10" x14ac:dyDescent="0.2">
      <c r="A48">
        <v>3.1338012881295401E-3</v>
      </c>
      <c r="B48">
        <v>-0.33895807863937499</v>
      </c>
      <c r="C48">
        <v>0.26800000000000002</v>
      </c>
      <c r="D48">
        <v>0.46800000000000003</v>
      </c>
      <c r="E48">
        <v>1</v>
      </c>
      <c r="F48" t="s">
        <v>3924</v>
      </c>
      <c r="G48" t="s">
        <v>3925</v>
      </c>
      <c r="H48" t="s">
        <v>3924</v>
      </c>
      <c r="I48" t="str">
        <f>HYPERLINK("https://zfin.org/ZDB-GENE-050320-32")</f>
        <v>https://zfin.org/ZDB-GENE-050320-32</v>
      </c>
      <c r="J48" t="s">
        <v>3923</v>
      </c>
    </row>
    <row r="49" spans="1:10" x14ac:dyDescent="0.2">
      <c r="A49">
        <v>3.4687752666758202E-3</v>
      </c>
      <c r="B49">
        <v>-0.29515950942296598</v>
      </c>
      <c r="C49">
        <v>4.1000000000000002E-2</v>
      </c>
      <c r="D49">
        <v>0.156</v>
      </c>
      <c r="E49">
        <v>1</v>
      </c>
      <c r="F49" t="s">
        <v>2886</v>
      </c>
      <c r="G49" t="s">
        <v>2887</v>
      </c>
      <c r="H49" t="s">
        <v>2886</v>
      </c>
      <c r="I49" t="str">
        <f>HYPERLINK("https://zfin.org/ZDB-GENE-030131-7209")</f>
        <v>https://zfin.org/ZDB-GENE-030131-7209</v>
      </c>
      <c r="J49" t="s">
        <v>2885</v>
      </c>
    </row>
    <row r="50" spans="1:10" x14ac:dyDescent="0.2">
      <c r="A50">
        <v>3.49823852205355E-3</v>
      </c>
      <c r="B50">
        <v>-0.25170272880210598</v>
      </c>
      <c r="C50">
        <v>0.69099999999999995</v>
      </c>
      <c r="D50">
        <v>0.85299999999999998</v>
      </c>
      <c r="E50">
        <v>1</v>
      </c>
      <c r="F50" t="s">
        <v>91</v>
      </c>
      <c r="G50" t="s">
        <v>92</v>
      </c>
      <c r="H50" t="s">
        <v>91</v>
      </c>
      <c r="I50" t="str">
        <f>HYPERLINK("https://zfin.org/ZDB-GENE-120215-258")</f>
        <v>https://zfin.org/ZDB-GENE-120215-258</v>
      </c>
      <c r="J50" t="s">
        <v>93</v>
      </c>
    </row>
    <row r="51" spans="1:10" x14ac:dyDescent="0.2">
      <c r="A51">
        <v>3.6149058216074E-3</v>
      </c>
      <c r="B51">
        <v>-0.27260759449692001</v>
      </c>
      <c r="C51">
        <v>6.5000000000000002E-2</v>
      </c>
      <c r="D51">
        <v>0.193</v>
      </c>
      <c r="E51">
        <v>1</v>
      </c>
      <c r="F51" t="s">
        <v>3921</v>
      </c>
      <c r="G51" t="s">
        <v>3922</v>
      </c>
      <c r="H51" t="s">
        <v>3921</v>
      </c>
      <c r="I51" t="str">
        <f>HYPERLINK("https://zfin.org/ZDB-GENE-040426-1789")</f>
        <v>https://zfin.org/ZDB-GENE-040426-1789</v>
      </c>
      <c r="J51" t="s">
        <v>3920</v>
      </c>
    </row>
    <row r="52" spans="1:10" x14ac:dyDescent="0.2">
      <c r="A52">
        <v>4.0038191564525502E-3</v>
      </c>
      <c r="B52">
        <v>-0.34401660449222998</v>
      </c>
      <c r="C52">
        <v>0.40699999999999997</v>
      </c>
      <c r="D52">
        <v>0.60599999999999998</v>
      </c>
      <c r="E52">
        <v>1</v>
      </c>
      <c r="F52" t="s">
        <v>2371</v>
      </c>
      <c r="G52" t="s">
        <v>2372</v>
      </c>
      <c r="H52" t="s">
        <v>2371</v>
      </c>
      <c r="I52" t="str">
        <f>HYPERLINK("https://zfin.org/ZDB-GENE-100922-65")</f>
        <v>https://zfin.org/ZDB-GENE-100922-65</v>
      </c>
      <c r="J52" t="s">
        <v>2370</v>
      </c>
    </row>
    <row r="53" spans="1:10" x14ac:dyDescent="0.2">
      <c r="A53">
        <v>4.0951245907968198E-3</v>
      </c>
      <c r="B53">
        <v>-0.316234659268673</v>
      </c>
      <c r="C53">
        <v>0.20300000000000001</v>
      </c>
      <c r="D53">
        <v>0.38500000000000001</v>
      </c>
      <c r="E53">
        <v>1</v>
      </c>
      <c r="F53" t="s">
        <v>2443</v>
      </c>
      <c r="G53" t="s">
        <v>2444</v>
      </c>
      <c r="H53" t="s">
        <v>2443</v>
      </c>
      <c r="I53" t="str">
        <f>HYPERLINK("https://zfin.org/ZDB-GENE-100921-8")</f>
        <v>https://zfin.org/ZDB-GENE-100921-8</v>
      </c>
      <c r="J53" t="s">
        <v>2442</v>
      </c>
    </row>
    <row r="54" spans="1:10" x14ac:dyDescent="0.2">
      <c r="A54">
        <v>4.2204557726162797E-3</v>
      </c>
      <c r="B54">
        <v>-0.290767704512925</v>
      </c>
      <c r="C54">
        <v>0.40699999999999997</v>
      </c>
      <c r="D54">
        <v>0.59599999999999997</v>
      </c>
      <c r="E54">
        <v>1</v>
      </c>
      <c r="F54" t="s">
        <v>1400</v>
      </c>
      <c r="G54" t="s">
        <v>1401</v>
      </c>
      <c r="H54" t="s">
        <v>1400</v>
      </c>
      <c r="I54" t="str">
        <f>HYPERLINK("https://zfin.org/ZDB-GENE-030131-9149")</f>
        <v>https://zfin.org/ZDB-GENE-030131-9149</v>
      </c>
      <c r="J54" t="s">
        <v>1399</v>
      </c>
    </row>
    <row r="55" spans="1:10" x14ac:dyDescent="0.2">
      <c r="A55">
        <v>4.5829198813985197E-3</v>
      </c>
      <c r="B55">
        <v>-0.26599739827784002</v>
      </c>
      <c r="C55">
        <v>0.26</v>
      </c>
      <c r="D55">
        <v>0.45</v>
      </c>
      <c r="E55">
        <v>1</v>
      </c>
      <c r="F55" t="s">
        <v>3918</v>
      </c>
      <c r="G55" t="s">
        <v>3919</v>
      </c>
      <c r="H55" t="s">
        <v>3918</v>
      </c>
      <c r="I55" t="str">
        <f>HYPERLINK("https://zfin.org/ZDB-GENE-040426-2139")</f>
        <v>https://zfin.org/ZDB-GENE-040426-2139</v>
      </c>
      <c r="J55" t="s">
        <v>3917</v>
      </c>
    </row>
    <row r="56" spans="1:10" x14ac:dyDescent="0.2">
      <c r="A56">
        <v>4.6714659051090004E-3</v>
      </c>
      <c r="B56">
        <v>-0.39000150504986902</v>
      </c>
      <c r="C56">
        <v>0.23599999999999999</v>
      </c>
      <c r="D56">
        <v>0.42199999999999999</v>
      </c>
      <c r="E56">
        <v>1</v>
      </c>
      <c r="F56" t="s">
        <v>2446</v>
      </c>
      <c r="G56" t="s">
        <v>2447</v>
      </c>
      <c r="H56" t="s">
        <v>2446</v>
      </c>
      <c r="I56" t="str">
        <f>HYPERLINK("https://zfin.org/ZDB-GENE-110718-2")</f>
        <v>https://zfin.org/ZDB-GENE-110718-2</v>
      </c>
      <c r="J56" t="s">
        <v>2445</v>
      </c>
    </row>
    <row r="57" spans="1:10" x14ac:dyDescent="0.2">
      <c r="A57">
        <v>4.80167530704282E-3</v>
      </c>
      <c r="B57">
        <v>-0.28636771056015298</v>
      </c>
      <c r="C57">
        <v>5.7000000000000002E-2</v>
      </c>
      <c r="D57">
        <v>0.17399999999999999</v>
      </c>
      <c r="E57">
        <v>1</v>
      </c>
      <c r="F57" t="s">
        <v>3915</v>
      </c>
      <c r="G57" t="s">
        <v>3916</v>
      </c>
      <c r="H57" t="s">
        <v>3915</v>
      </c>
      <c r="I57" t="str">
        <f>HYPERLINK("https://zfin.org/ZDB-GENE-040426-22")</f>
        <v>https://zfin.org/ZDB-GENE-040426-22</v>
      </c>
      <c r="J57" t="s">
        <v>3914</v>
      </c>
    </row>
    <row r="58" spans="1:10" x14ac:dyDescent="0.2">
      <c r="A58">
        <v>4.84569877236961E-3</v>
      </c>
      <c r="B58">
        <v>-0.25950128631090502</v>
      </c>
      <c r="C58">
        <v>0.13</v>
      </c>
      <c r="D58">
        <v>0.29399999999999998</v>
      </c>
      <c r="E58">
        <v>1</v>
      </c>
      <c r="F58" t="s">
        <v>3912</v>
      </c>
      <c r="G58" t="s">
        <v>3913</v>
      </c>
      <c r="H58" t="s">
        <v>3912</v>
      </c>
      <c r="I58" t="str">
        <f>HYPERLINK("https://zfin.org/ZDB-GENE-020513-2")</f>
        <v>https://zfin.org/ZDB-GENE-020513-2</v>
      </c>
      <c r="J58" t="s">
        <v>3911</v>
      </c>
    </row>
    <row r="59" spans="1:10" x14ac:dyDescent="0.2">
      <c r="A59">
        <v>5.0202562870491803E-3</v>
      </c>
      <c r="B59">
        <v>-0.30062636024851502</v>
      </c>
      <c r="C59">
        <v>5.7000000000000002E-2</v>
      </c>
      <c r="D59">
        <v>0.17399999999999999</v>
      </c>
      <c r="E59">
        <v>1</v>
      </c>
      <c r="F59" t="s">
        <v>3909</v>
      </c>
      <c r="G59" t="s">
        <v>3910</v>
      </c>
      <c r="H59" t="s">
        <v>3909</v>
      </c>
      <c r="I59" t="str">
        <f>HYPERLINK("https://zfin.org/ZDB-GENE-090710-3")</f>
        <v>https://zfin.org/ZDB-GENE-090710-3</v>
      </c>
      <c r="J59" t="s">
        <v>3908</v>
      </c>
    </row>
    <row r="60" spans="1:10" x14ac:dyDescent="0.2">
      <c r="A60">
        <v>5.0950442659790799E-3</v>
      </c>
      <c r="B60">
        <v>-0.31851952944597101</v>
      </c>
      <c r="C60">
        <v>8.1000000000000003E-2</v>
      </c>
      <c r="D60">
        <v>0.21099999999999999</v>
      </c>
      <c r="E60">
        <v>1</v>
      </c>
      <c r="F60" t="s">
        <v>2374</v>
      </c>
      <c r="G60" t="s">
        <v>2375</v>
      </c>
      <c r="H60" t="s">
        <v>2374</v>
      </c>
      <c r="I60" t="str">
        <f>HYPERLINK("https://zfin.org/ZDB-GENE-070112-2282")</f>
        <v>https://zfin.org/ZDB-GENE-070112-2282</v>
      </c>
      <c r="J60" t="s">
        <v>2373</v>
      </c>
    </row>
    <row r="61" spans="1:10" x14ac:dyDescent="0.2">
      <c r="A61">
        <v>5.1961199428351501E-3</v>
      </c>
      <c r="B61">
        <v>-0.32659661776841897</v>
      </c>
      <c r="C61">
        <v>0.374</v>
      </c>
      <c r="D61">
        <v>0.56899999999999995</v>
      </c>
      <c r="E61">
        <v>1</v>
      </c>
      <c r="F61" t="s">
        <v>1448</v>
      </c>
      <c r="G61" t="s">
        <v>1449</v>
      </c>
      <c r="H61" t="s">
        <v>1448</v>
      </c>
      <c r="I61" t="str">
        <f>HYPERLINK("https://zfin.org/ZDB-GENE-070719-5")</f>
        <v>https://zfin.org/ZDB-GENE-070719-5</v>
      </c>
      <c r="J61" t="s">
        <v>1447</v>
      </c>
    </row>
    <row r="62" spans="1:10" x14ac:dyDescent="0.2">
      <c r="A62">
        <v>5.1997394922028801E-3</v>
      </c>
      <c r="B62">
        <v>-0.30822042015673301</v>
      </c>
      <c r="C62">
        <v>0.122</v>
      </c>
      <c r="D62">
        <v>0.27500000000000002</v>
      </c>
      <c r="E62">
        <v>1</v>
      </c>
      <c r="F62" t="s">
        <v>3906</v>
      </c>
      <c r="G62" t="s">
        <v>3907</v>
      </c>
      <c r="H62" t="s">
        <v>3906</v>
      </c>
      <c r="I62" t="str">
        <f>HYPERLINK("https://zfin.org/ZDB-GENE-040718-298")</f>
        <v>https://zfin.org/ZDB-GENE-040718-298</v>
      </c>
      <c r="J62" t="s">
        <v>3905</v>
      </c>
    </row>
    <row r="63" spans="1:10" x14ac:dyDescent="0.2">
      <c r="A63">
        <v>5.2854961341823299E-3</v>
      </c>
      <c r="B63">
        <v>-0.33389626442807901</v>
      </c>
      <c r="C63">
        <v>0.69899999999999995</v>
      </c>
      <c r="D63">
        <v>0.82599999999999996</v>
      </c>
      <c r="E63">
        <v>1</v>
      </c>
      <c r="F63" t="s">
        <v>1464</v>
      </c>
      <c r="G63" t="s">
        <v>1465</v>
      </c>
      <c r="H63" t="s">
        <v>1464</v>
      </c>
      <c r="I63" t="str">
        <f>HYPERLINK("https://zfin.org/ZDB-GENE-080829-12")</f>
        <v>https://zfin.org/ZDB-GENE-080829-12</v>
      </c>
      <c r="J63" t="s">
        <v>1463</v>
      </c>
    </row>
    <row r="64" spans="1:10" x14ac:dyDescent="0.2">
      <c r="A64">
        <v>5.6577099302462996E-3</v>
      </c>
      <c r="B64">
        <v>-0.32814277443992901</v>
      </c>
      <c r="C64">
        <v>0.40699999999999997</v>
      </c>
      <c r="D64">
        <v>0.61499999999999999</v>
      </c>
      <c r="E64">
        <v>1</v>
      </c>
      <c r="F64" t="s">
        <v>3903</v>
      </c>
      <c r="G64" t="s">
        <v>3904</v>
      </c>
      <c r="H64" t="s">
        <v>3903</v>
      </c>
      <c r="I64" t="str">
        <f>HYPERLINK("https://zfin.org/ZDB-GENE-030131-3060")</f>
        <v>https://zfin.org/ZDB-GENE-030131-3060</v>
      </c>
      <c r="J64" t="s">
        <v>3902</v>
      </c>
    </row>
    <row r="65" spans="1:10" x14ac:dyDescent="0.2">
      <c r="A65">
        <v>5.7960562192362602E-3</v>
      </c>
      <c r="B65">
        <v>-0.29836920455170701</v>
      </c>
      <c r="C65">
        <v>6.5000000000000002E-2</v>
      </c>
      <c r="D65">
        <v>0.183</v>
      </c>
      <c r="E65">
        <v>1</v>
      </c>
      <c r="F65" t="s">
        <v>3206</v>
      </c>
      <c r="G65" t="s">
        <v>3207</v>
      </c>
      <c r="H65" t="s">
        <v>3206</v>
      </c>
      <c r="I65" t="str">
        <f>HYPERLINK("https://zfin.org/ZDB-GENE-040426-1262")</f>
        <v>https://zfin.org/ZDB-GENE-040426-1262</v>
      </c>
      <c r="J65" t="s">
        <v>3205</v>
      </c>
    </row>
    <row r="66" spans="1:10" x14ac:dyDescent="0.2">
      <c r="A66">
        <v>5.9947080620492204E-3</v>
      </c>
      <c r="B66">
        <v>-0.37525573932793799</v>
      </c>
      <c r="C66">
        <v>8.1000000000000003E-2</v>
      </c>
      <c r="D66">
        <v>0.20200000000000001</v>
      </c>
      <c r="E66">
        <v>1</v>
      </c>
      <c r="F66" t="s">
        <v>3900</v>
      </c>
      <c r="G66" t="s">
        <v>3901</v>
      </c>
      <c r="H66" t="s">
        <v>3900</v>
      </c>
      <c r="I66" t="str">
        <f>HYPERLINK("https://zfin.org/ZDB-GENE-040426-1795")</f>
        <v>https://zfin.org/ZDB-GENE-040426-1795</v>
      </c>
      <c r="J66" t="s">
        <v>3899</v>
      </c>
    </row>
    <row r="67" spans="1:10" x14ac:dyDescent="0.2">
      <c r="A67">
        <v>6.1364601957537802E-3</v>
      </c>
      <c r="B67">
        <v>-0.28622744616725598</v>
      </c>
      <c r="C67">
        <v>0.27600000000000002</v>
      </c>
      <c r="D67">
        <v>0.47699999999999998</v>
      </c>
      <c r="E67">
        <v>1</v>
      </c>
      <c r="F67" t="s">
        <v>3897</v>
      </c>
      <c r="G67" t="s">
        <v>3898</v>
      </c>
      <c r="H67" t="s">
        <v>3897</v>
      </c>
      <c r="I67" t="str">
        <f>HYPERLINK("https://zfin.org/ZDB-GENE-040426-2682")</f>
        <v>https://zfin.org/ZDB-GENE-040426-2682</v>
      </c>
      <c r="J67" t="s">
        <v>3896</v>
      </c>
    </row>
    <row r="68" spans="1:10" x14ac:dyDescent="0.2">
      <c r="A68">
        <v>6.3765840122191704E-3</v>
      </c>
      <c r="B68">
        <v>-0.279875559570396</v>
      </c>
      <c r="C68">
        <v>0.626</v>
      </c>
      <c r="D68">
        <v>0.78</v>
      </c>
      <c r="E68">
        <v>1</v>
      </c>
      <c r="F68" t="s">
        <v>2655</v>
      </c>
      <c r="G68" t="s">
        <v>2656</v>
      </c>
      <c r="H68" t="s">
        <v>2655</v>
      </c>
      <c r="I68" t="str">
        <f>HYPERLINK("https://zfin.org/ZDB-GENE-131120-172")</f>
        <v>https://zfin.org/ZDB-GENE-131120-172</v>
      </c>
      <c r="J68" t="s">
        <v>2654</v>
      </c>
    </row>
    <row r="69" spans="1:10" x14ac:dyDescent="0.2">
      <c r="A69">
        <v>6.91047342421937E-3</v>
      </c>
      <c r="B69">
        <v>-0.29087366341216098</v>
      </c>
      <c r="C69">
        <v>0.309</v>
      </c>
      <c r="D69">
        <v>0.505</v>
      </c>
      <c r="E69">
        <v>1</v>
      </c>
      <c r="F69" t="s">
        <v>631</v>
      </c>
      <c r="G69" t="s">
        <v>632</v>
      </c>
      <c r="H69" t="s">
        <v>631</v>
      </c>
      <c r="I69" t="str">
        <f>HYPERLINK("https://zfin.org/ZDB-GENE-030131-5606")</f>
        <v>https://zfin.org/ZDB-GENE-030131-5606</v>
      </c>
      <c r="J69" t="s">
        <v>630</v>
      </c>
    </row>
    <row r="70" spans="1:10" x14ac:dyDescent="0.2">
      <c r="A70">
        <v>6.9178230312064203E-3</v>
      </c>
      <c r="B70">
        <v>-0.31068624428089803</v>
      </c>
      <c r="C70">
        <v>0.187</v>
      </c>
      <c r="D70">
        <v>0.34899999999999998</v>
      </c>
      <c r="E70">
        <v>1</v>
      </c>
      <c r="F70" t="s">
        <v>2820</v>
      </c>
      <c r="G70" t="s">
        <v>2821</v>
      </c>
      <c r="H70" t="s">
        <v>2820</v>
      </c>
      <c r="I70" t="str">
        <f>HYPERLINK("https://zfin.org/ZDB-GENE-030516-3")</f>
        <v>https://zfin.org/ZDB-GENE-030516-3</v>
      </c>
      <c r="J70" t="s">
        <v>2819</v>
      </c>
    </row>
    <row r="71" spans="1:10" x14ac:dyDescent="0.2">
      <c r="A71">
        <v>7.7053014421371302E-3</v>
      </c>
      <c r="B71">
        <v>-0.49578014465467601</v>
      </c>
      <c r="C71">
        <v>0.87</v>
      </c>
      <c r="D71">
        <v>0.94499999999999995</v>
      </c>
      <c r="E71">
        <v>1</v>
      </c>
      <c r="F71" t="s">
        <v>100</v>
      </c>
      <c r="G71" t="s">
        <v>101</v>
      </c>
      <c r="H71" t="s">
        <v>100</v>
      </c>
      <c r="I71" t="str">
        <f>HYPERLINK("https://zfin.org/ZDB-GENE-030131-12")</f>
        <v>https://zfin.org/ZDB-GENE-030131-12</v>
      </c>
      <c r="J71" t="s">
        <v>102</v>
      </c>
    </row>
    <row r="72" spans="1:10" x14ac:dyDescent="0.2">
      <c r="A72">
        <v>7.7583298142666597E-3</v>
      </c>
      <c r="B72">
        <v>-0.31104299840649502</v>
      </c>
      <c r="C72">
        <v>7.2999999999999995E-2</v>
      </c>
      <c r="D72">
        <v>0.193</v>
      </c>
      <c r="E72">
        <v>1</v>
      </c>
      <c r="F72" t="s">
        <v>3894</v>
      </c>
      <c r="G72" t="s">
        <v>3895</v>
      </c>
      <c r="H72" t="s">
        <v>3894</v>
      </c>
      <c r="I72" t="str">
        <f>HYPERLINK("https://zfin.org/ZDB-GENE-041010-109")</f>
        <v>https://zfin.org/ZDB-GENE-041010-109</v>
      </c>
      <c r="J72" t="s">
        <v>3893</v>
      </c>
    </row>
    <row r="73" spans="1:10" x14ac:dyDescent="0.2">
      <c r="A73">
        <v>7.8524969692817595E-3</v>
      </c>
      <c r="B73">
        <v>-0.28711372904461302</v>
      </c>
      <c r="C73">
        <v>0.36599999999999999</v>
      </c>
      <c r="D73">
        <v>0.57799999999999996</v>
      </c>
      <c r="E73">
        <v>1</v>
      </c>
      <c r="F73" t="s">
        <v>3891</v>
      </c>
      <c r="G73" t="s">
        <v>3892</v>
      </c>
      <c r="H73" t="s">
        <v>3891</v>
      </c>
      <c r="I73" t="str">
        <f>HYPERLINK("https://zfin.org/ZDB-GENE-040801-18")</f>
        <v>https://zfin.org/ZDB-GENE-040801-18</v>
      </c>
      <c r="J73" t="s">
        <v>3890</v>
      </c>
    </row>
    <row r="74" spans="1:10" x14ac:dyDescent="0.2">
      <c r="A74">
        <v>7.8753279688316708E-3</v>
      </c>
      <c r="B74">
        <v>-0.30504926122588799</v>
      </c>
      <c r="C74">
        <v>8.8999999999999996E-2</v>
      </c>
      <c r="D74">
        <v>0.21099999999999999</v>
      </c>
      <c r="E74">
        <v>1</v>
      </c>
      <c r="F74" t="s">
        <v>3888</v>
      </c>
      <c r="G74" t="s">
        <v>3889</v>
      </c>
      <c r="H74" t="s">
        <v>3888</v>
      </c>
      <c r="I74" t="str">
        <f>HYPERLINK("https://zfin.org/ZDB-GENE-040426-1479")</f>
        <v>https://zfin.org/ZDB-GENE-040426-1479</v>
      </c>
      <c r="J74" t="s">
        <v>3887</v>
      </c>
    </row>
    <row r="75" spans="1:10" x14ac:dyDescent="0.2">
      <c r="A75">
        <v>7.9725398252963996E-3</v>
      </c>
      <c r="B75">
        <v>-0.25368974026549701</v>
      </c>
      <c r="C75">
        <v>0.79700000000000004</v>
      </c>
      <c r="D75">
        <v>0.872</v>
      </c>
      <c r="E75">
        <v>1</v>
      </c>
      <c r="F75" t="s">
        <v>156</v>
      </c>
      <c r="G75" t="s">
        <v>157</v>
      </c>
      <c r="H75" t="s">
        <v>156</v>
      </c>
      <c r="I75" t="str">
        <f>HYPERLINK("https://zfin.org/ZDB-GENE-141222-6")</f>
        <v>https://zfin.org/ZDB-GENE-141222-6</v>
      </c>
      <c r="J75" t="s">
        <v>158</v>
      </c>
    </row>
    <row r="76" spans="1:10" x14ac:dyDescent="0.2">
      <c r="A76">
        <v>8.0279875006187707E-3</v>
      </c>
      <c r="B76">
        <v>-0.25113137653967399</v>
      </c>
      <c r="C76">
        <v>0.106</v>
      </c>
      <c r="D76">
        <v>0.23899999999999999</v>
      </c>
      <c r="E76">
        <v>1</v>
      </c>
      <c r="F76" t="s">
        <v>3402</v>
      </c>
      <c r="G76" t="s">
        <v>3403</v>
      </c>
      <c r="H76" t="s">
        <v>3402</v>
      </c>
      <c r="I76" t="str">
        <f>HYPERLINK("https://zfin.org/ZDB-GENE-130531-15")</f>
        <v>https://zfin.org/ZDB-GENE-130531-15</v>
      </c>
      <c r="J76" t="s">
        <v>3401</v>
      </c>
    </row>
    <row r="77" spans="1:10" x14ac:dyDescent="0.2">
      <c r="A77">
        <v>8.0856600665553894E-3</v>
      </c>
      <c r="B77">
        <v>-0.26291294163205697</v>
      </c>
      <c r="C77">
        <v>2.4E-2</v>
      </c>
      <c r="D77">
        <v>0.11</v>
      </c>
      <c r="E77">
        <v>1</v>
      </c>
      <c r="F77" t="s">
        <v>3885</v>
      </c>
      <c r="G77" t="s">
        <v>3886</v>
      </c>
      <c r="H77" t="s">
        <v>3885</v>
      </c>
      <c r="I77" t="str">
        <f>HYPERLINK("https://zfin.org/ZDB-GENE-030131-3767")</f>
        <v>https://zfin.org/ZDB-GENE-030131-3767</v>
      </c>
      <c r="J77" t="s">
        <v>3884</v>
      </c>
    </row>
    <row r="78" spans="1:10" x14ac:dyDescent="0.2">
      <c r="A78">
        <v>8.2767553287552992E-3</v>
      </c>
      <c r="B78">
        <v>-0.34600480827883801</v>
      </c>
      <c r="C78">
        <v>0.35</v>
      </c>
      <c r="D78">
        <v>0.55000000000000004</v>
      </c>
      <c r="E78">
        <v>1</v>
      </c>
      <c r="F78" t="s">
        <v>3159</v>
      </c>
      <c r="G78" t="s">
        <v>3160</v>
      </c>
      <c r="H78" t="s">
        <v>3159</v>
      </c>
      <c r="I78" t="str">
        <f>HYPERLINK("https://zfin.org/ZDB-GENE-040426-1060")</f>
        <v>https://zfin.org/ZDB-GENE-040426-1060</v>
      </c>
      <c r="J78" t="s">
        <v>3158</v>
      </c>
    </row>
    <row r="79" spans="1:10" x14ac:dyDescent="0.2">
      <c r="A79">
        <v>8.4688790331752303E-3</v>
      </c>
      <c r="B79">
        <v>-0.29285520152911798</v>
      </c>
      <c r="C79">
        <v>5.7000000000000002E-2</v>
      </c>
      <c r="D79">
        <v>0.16500000000000001</v>
      </c>
      <c r="E79">
        <v>1</v>
      </c>
      <c r="F79" t="s">
        <v>3882</v>
      </c>
      <c r="G79" t="s">
        <v>3883</v>
      </c>
      <c r="H79" t="s">
        <v>3882</v>
      </c>
      <c r="I79" t="str">
        <f>HYPERLINK("https://zfin.org/ZDB-GENE-030925-15")</f>
        <v>https://zfin.org/ZDB-GENE-030925-15</v>
      </c>
      <c r="J79" t="s">
        <v>3881</v>
      </c>
    </row>
    <row r="80" spans="1:10" x14ac:dyDescent="0.2">
      <c r="A80">
        <v>8.8500749615042108E-3</v>
      </c>
      <c r="B80">
        <v>-0.273148624216765</v>
      </c>
      <c r="C80">
        <v>0.106</v>
      </c>
      <c r="D80">
        <v>0.23899999999999999</v>
      </c>
      <c r="E80">
        <v>1</v>
      </c>
      <c r="F80" t="s">
        <v>3105</v>
      </c>
      <c r="G80" t="s">
        <v>3106</v>
      </c>
      <c r="H80" t="s">
        <v>3105</v>
      </c>
      <c r="I80" t="str">
        <f>HYPERLINK("https://zfin.org/ZDB-GENE-070912-475")</f>
        <v>https://zfin.org/ZDB-GENE-070912-475</v>
      </c>
      <c r="J80" t="s">
        <v>3104</v>
      </c>
    </row>
    <row r="81" spans="1:10" x14ac:dyDescent="0.2">
      <c r="A81">
        <v>8.8540895361342506E-3</v>
      </c>
      <c r="B81">
        <v>-0.36969085029501197</v>
      </c>
      <c r="C81">
        <v>0.17100000000000001</v>
      </c>
      <c r="D81">
        <v>0.30299999999999999</v>
      </c>
      <c r="E81">
        <v>1</v>
      </c>
      <c r="F81" t="s">
        <v>3879</v>
      </c>
      <c r="G81" t="s">
        <v>3880</v>
      </c>
      <c r="H81" t="s">
        <v>3879</v>
      </c>
      <c r="I81" t="str">
        <f>HYPERLINK("https://zfin.org/ZDB-GENE-031118-30")</f>
        <v>https://zfin.org/ZDB-GENE-031118-30</v>
      </c>
      <c r="J81" t="s">
        <v>3878</v>
      </c>
    </row>
    <row r="82" spans="1:10" x14ac:dyDescent="0.2">
      <c r="A82">
        <v>9.1349142162696906E-3</v>
      </c>
      <c r="B82">
        <v>-0.303766495440978</v>
      </c>
      <c r="C82">
        <v>0.13</v>
      </c>
      <c r="D82">
        <v>0.26600000000000001</v>
      </c>
      <c r="E82">
        <v>1</v>
      </c>
      <c r="F82" t="s">
        <v>3876</v>
      </c>
      <c r="G82" t="s">
        <v>3877</v>
      </c>
      <c r="H82" t="s">
        <v>3876</v>
      </c>
      <c r="I82" t="str">
        <f>HYPERLINK("https://zfin.org/ZDB-GENE-060331-97")</f>
        <v>https://zfin.org/ZDB-GENE-060331-97</v>
      </c>
      <c r="J82" t="s">
        <v>3875</v>
      </c>
    </row>
    <row r="83" spans="1:10" x14ac:dyDescent="0.2">
      <c r="A83">
        <v>9.1410687390146503E-3</v>
      </c>
      <c r="B83">
        <v>-0.27944230246820101</v>
      </c>
      <c r="C83">
        <v>0.39</v>
      </c>
      <c r="D83">
        <v>0.56899999999999995</v>
      </c>
      <c r="E83">
        <v>1</v>
      </c>
      <c r="F83" t="s">
        <v>3873</v>
      </c>
      <c r="G83" t="s">
        <v>3874</v>
      </c>
      <c r="H83" t="s">
        <v>3873</v>
      </c>
      <c r="I83" t="str">
        <f>HYPERLINK("https://zfin.org/ZDB-GENE-040120-6")</f>
        <v>https://zfin.org/ZDB-GENE-040120-6</v>
      </c>
      <c r="J83" t="s">
        <v>3872</v>
      </c>
    </row>
    <row r="84" spans="1:10" x14ac:dyDescent="0.2">
      <c r="A84">
        <v>9.3221487825276596E-3</v>
      </c>
      <c r="B84">
        <v>-0.25102235211546597</v>
      </c>
      <c r="C84">
        <v>5.7000000000000002E-2</v>
      </c>
      <c r="D84">
        <v>0.16500000000000001</v>
      </c>
      <c r="E84">
        <v>1</v>
      </c>
      <c r="F84" t="s">
        <v>3870</v>
      </c>
      <c r="G84" t="s">
        <v>3871</v>
      </c>
      <c r="H84" t="s">
        <v>3870</v>
      </c>
      <c r="I84" t="str">
        <f>HYPERLINK("https://zfin.org/ZDB-GENE-040426-2894")</f>
        <v>https://zfin.org/ZDB-GENE-040426-2894</v>
      </c>
      <c r="J84" t="s">
        <v>3869</v>
      </c>
    </row>
    <row r="85" spans="1:10" x14ac:dyDescent="0.2">
      <c r="A85">
        <v>9.34624096781554E-3</v>
      </c>
      <c r="B85">
        <v>-0.28047297662418602</v>
      </c>
      <c r="C85">
        <v>0.38200000000000001</v>
      </c>
      <c r="D85">
        <v>0.55000000000000004</v>
      </c>
      <c r="E85">
        <v>1</v>
      </c>
      <c r="F85" t="s">
        <v>3867</v>
      </c>
      <c r="G85" t="s">
        <v>3868</v>
      </c>
      <c r="H85" t="s">
        <v>3867</v>
      </c>
      <c r="I85" t="str">
        <f>HYPERLINK("https://zfin.org/ZDB-GENE-030131-822")</f>
        <v>https://zfin.org/ZDB-GENE-030131-822</v>
      </c>
      <c r="J85" t="s">
        <v>3866</v>
      </c>
    </row>
    <row r="86" spans="1:10" x14ac:dyDescent="0.2">
      <c r="A86">
        <v>9.4440622558279695E-3</v>
      </c>
      <c r="B86">
        <v>-0.26153469511160798</v>
      </c>
      <c r="C86">
        <v>0.27600000000000002</v>
      </c>
      <c r="D86">
        <v>0.45900000000000002</v>
      </c>
      <c r="E86">
        <v>1</v>
      </c>
      <c r="F86" t="s">
        <v>3864</v>
      </c>
      <c r="G86" t="s">
        <v>3865</v>
      </c>
      <c r="H86" t="s">
        <v>3864</v>
      </c>
      <c r="I86" t="str">
        <f>HYPERLINK("https://zfin.org/ZDB-GENE-040822-39")</f>
        <v>https://zfin.org/ZDB-GENE-040822-39</v>
      </c>
      <c r="J86" t="s">
        <v>3863</v>
      </c>
    </row>
    <row r="87" spans="1:10" x14ac:dyDescent="0.2">
      <c r="A87">
        <v>1.00951953162181E-2</v>
      </c>
      <c r="B87">
        <v>-0.307862832184994</v>
      </c>
      <c r="C87">
        <v>0.23599999999999999</v>
      </c>
      <c r="D87">
        <v>0.38500000000000001</v>
      </c>
      <c r="E87">
        <v>1</v>
      </c>
      <c r="F87" t="s">
        <v>3861</v>
      </c>
      <c r="G87" t="s">
        <v>3862</v>
      </c>
      <c r="H87" t="s">
        <v>3861</v>
      </c>
      <c r="I87" t="str">
        <f>HYPERLINK("https://zfin.org/ZDB-GENE-040426-2653")</f>
        <v>https://zfin.org/ZDB-GENE-040426-2653</v>
      </c>
      <c r="J87" t="s">
        <v>3860</v>
      </c>
    </row>
    <row r="88" spans="1:10" x14ac:dyDescent="0.2">
      <c r="A88">
        <v>1.0808486240479E-2</v>
      </c>
      <c r="B88">
        <v>-0.26861306353764502</v>
      </c>
      <c r="C88">
        <v>0.14599999999999999</v>
      </c>
      <c r="D88">
        <v>0.28399999999999997</v>
      </c>
      <c r="E88">
        <v>1</v>
      </c>
      <c r="F88" t="s">
        <v>2328</v>
      </c>
      <c r="G88" t="s">
        <v>2329</v>
      </c>
      <c r="H88" t="s">
        <v>2328</v>
      </c>
      <c r="I88" t="str">
        <f>HYPERLINK("https://zfin.org/")</f>
        <v>https://zfin.org/</v>
      </c>
    </row>
    <row r="89" spans="1:10" x14ac:dyDescent="0.2">
      <c r="A89">
        <v>1.10464238171957E-2</v>
      </c>
      <c r="B89">
        <v>-0.29430747546941999</v>
      </c>
      <c r="C89">
        <v>6.5000000000000002E-2</v>
      </c>
      <c r="D89">
        <v>0.17399999999999999</v>
      </c>
      <c r="E89">
        <v>1</v>
      </c>
      <c r="F89" t="s">
        <v>3858</v>
      </c>
      <c r="G89" t="s">
        <v>3859</v>
      </c>
      <c r="H89" t="s">
        <v>3858</v>
      </c>
      <c r="I89" t="str">
        <f>HYPERLINK("https://zfin.org/ZDB-GENE-040426-1387")</f>
        <v>https://zfin.org/ZDB-GENE-040426-1387</v>
      </c>
      <c r="J89" t="s">
        <v>3857</v>
      </c>
    </row>
    <row r="90" spans="1:10" x14ac:dyDescent="0.2">
      <c r="A90">
        <v>1.1244479818686899E-2</v>
      </c>
      <c r="B90">
        <v>-0.45953359963745499</v>
      </c>
      <c r="C90">
        <v>0.35</v>
      </c>
      <c r="D90">
        <v>0.495</v>
      </c>
      <c r="E90">
        <v>1</v>
      </c>
      <c r="F90" t="s">
        <v>2003</v>
      </c>
      <c r="G90" t="s">
        <v>2004</v>
      </c>
      <c r="H90" t="s">
        <v>2003</v>
      </c>
      <c r="I90" t="str">
        <f>HYPERLINK("https://zfin.org/ZDB-GENE-070119-3")</f>
        <v>https://zfin.org/ZDB-GENE-070119-3</v>
      </c>
      <c r="J90" t="s">
        <v>2002</v>
      </c>
    </row>
    <row r="91" spans="1:10" x14ac:dyDescent="0.2">
      <c r="A91">
        <v>1.2288109952276E-2</v>
      </c>
      <c r="B91">
        <v>-0.254195710219556</v>
      </c>
      <c r="C91">
        <v>0.53700000000000003</v>
      </c>
      <c r="D91">
        <v>0.73399999999999999</v>
      </c>
      <c r="E91">
        <v>1</v>
      </c>
      <c r="F91" t="s">
        <v>715</v>
      </c>
      <c r="G91" t="s">
        <v>716</v>
      </c>
      <c r="H91" t="s">
        <v>715</v>
      </c>
      <c r="I91" t="str">
        <f>HYPERLINK("https://zfin.org/ZDB-GENE-070912-397")</f>
        <v>https://zfin.org/ZDB-GENE-070912-397</v>
      </c>
      <c r="J91" t="s">
        <v>714</v>
      </c>
    </row>
    <row r="92" spans="1:10" x14ac:dyDescent="0.2">
      <c r="A92">
        <v>1.23321408224027E-2</v>
      </c>
      <c r="B92">
        <v>-0.25907742228218</v>
      </c>
      <c r="C92">
        <v>0.17100000000000001</v>
      </c>
      <c r="D92">
        <v>0.312</v>
      </c>
      <c r="E92">
        <v>1</v>
      </c>
      <c r="F92" t="s">
        <v>3855</v>
      </c>
      <c r="G92" t="s">
        <v>3856</v>
      </c>
      <c r="H92" t="s">
        <v>3855</v>
      </c>
      <c r="I92" t="str">
        <f>HYPERLINK("https://zfin.org/ZDB-GENE-050320-132")</f>
        <v>https://zfin.org/ZDB-GENE-050320-132</v>
      </c>
      <c r="J92" t="s">
        <v>3854</v>
      </c>
    </row>
    <row r="93" spans="1:10" x14ac:dyDescent="0.2">
      <c r="A93">
        <v>1.24515694749548E-2</v>
      </c>
      <c r="B93">
        <v>-0.25733367867248902</v>
      </c>
      <c r="C93">
        <v>0.504</v>
      </c>
      <c r="D93">
        <v>0.72499999999999998</v>
      </c>
      <c r="E93">
        <v>1</v>
      </c>
      <c r="F93" t="s">
        <v>1470</v>
      </c>
      <c r="G93" t="s">
        <v>1471</v>
      </c>
      <c r="H93" t="s">
        <v>1470</v>
      </c>
      <c r="I93" t="str">
        <f>HYPERLINK("https://zfin.org/ZDB-GENE-031112-4")</f>
        <v>https://zfin.org/ZDB-GENE-031112-4</v>
      </c>
      <c r="J93" t="s">
        <v>1469</v>
      </c>
    </row>
    <row r="94" spans="1:10" x14ac:dyDescent="0.2">
      <c r="A94">
        <v>1.31856207565927E-2</v>
      </c>
      <c r="B94">
        <v>-0.26698936960979702</v>
      </c>
      <c r="C94">
        <v>0.106</v>
      </c>
      <c r="D94">
        <v>0.22900000000000001</v>
      </c>
      <c r="E94">
        <v>1</v>
      </c>
      <c r="F94" t="s">
        <v>3852</v>
      </c>
      <c r="G94" t="s">
        <v>3853</v>
      </c>
      <c r="H94" t="s">
        <v>3852</v>
      </c>
      <c r="I94" t="str">
        <f>HYPERLINK("https://zfin.org/")</f>
        <v>https://zfin.org/</v>
      </c>
    </row>
    <row r="95" spans="1:10" x14ac:dyDescent="0.2">
      <c r="A95">
        <v>1.33831728979066E-2</v>
      </c>
      <c r="B95">
        <v>-0.28728034874424402</v>
      </c>
      <c r="C95">
        <v>0.26800000000000002</v>
      </c>
      <c r="D95">
        <v>0.44</v>
      </c>
      <c r="E95">
        <v>1</v>
      </c>
      <c r="F95" t="s">
        <v>3850</v>
      </c>
      <c r="G95" t="s">
        <v>3851</v>
      </c>
      <c r="H95" t="s">
        <v>3850</v>
      </c>
      <c r="I95" t="str">
        <f>HYPERLINK("https://zfin.org/ZDB-GENE-040426-2884")</f>
        <v>https://zfin.org/ZDB-GENE-040426-2884</v>
      </c>
      <c r="J95" t="s">
        <v>3849</v>
      </c>
    </row>
    <row r="96" spans="1:10" x14ac:dyDescent="0.2">
      <c r="A96">
        <v>1.3531635729996201E-2</v>
      </c>
      <c r="B96">
        <v>-0.26573263315786599</v>
      </c>
      <c r="C96">
        <v>2.4E-2</v>
      </c>
      <c r="D96">
        <v>0.10100000000000001</v>
      </c>
      <c r="E96">
        <v>1</v>
      </c>
      <c r="F96" t="s">
        <v>1888</v>
      </c>
      <c r="G96" t="s">
        <v>1889</v>
      </c>
      <c r="H96" t="s">
        <v>1888</v>
      </c>
      <c r="I96" t="str">
        <f>HYPERLINK("https://zfin.org/ZDB-GENE-030131-298")</f>
        <v>https://zfin.org/ZDB-GENE-030131-298</v>
      </c>
      <c r="J96" t="s">
        <v>1887</v>
      </c>
    </row>
    <row r="97" spans="1:10" x14ac:dyDescent="0.2">
      <c r="A97">
        <v>1.4841682454601299E-2</v>
      </c>
      <c r="B97">
        <v>-0.25723403925508098</v>
      </c>
      <c r="C97">
        <v>2.4E-2</v>
      </c>
      <c r="D97">
        <v>0.10100000000000001</v>
      </c>
      <c r="E97">
        <v>1</v>
      </c>
      <c r="F97" t="s">
        <v>3847</v>
      </c>
      <c r="G97" t="s">
        <v>3848</v>
      </c>
      <c r="H97" t="s">
        <v>3847</v>
      </c>
      <c r="I97" t="str">
        <f>HYPERLINK("https://zfin.org/")</f>
        <v>https://zfin.org/</v>
      </c>
      <c r="J97" t="s">
        <v>3846</v>
      </c>
    </row>
    <row r="98" spans="1:10" x14ac:dyDescent="0.2">
      <c r="A98">
        <v>1.48686277472474E-2</v>
      </c>
      <c r="B98">
        <v>-0.31142368689064498</v>
      </c>
      <c r="C98">
        <v>0.106</v>
      </c>
      <c r="D98">
        <v>0.22</v>
      </c>
      <c r="E98">
        <v>1</v>
      </c>
      <c r="F98" t="s">
        <v>3844</v>
      </c>
      <c r="G98" t="s">
        <v>3845</v>
      </c>
      <c r="H98" t="s">
        <v>3844</v>
      </c>
      <c r="I98" t="str">
        <f>HYPERLINK("https://zfin.org/ZDB-GENE-040718-281")</f>
        <v>https://zfin.org/ZDB-GENE-040718-281</v>
      </c>
      <c r="J98" t="s">
        <v>3843</v>
      </c>
    </row>
    <row r="99" spans="1:10" x14ac:dyDescent="0.2">
      <c r="A99">
        <v>1.6063746546336601E-2</v>
      </c>
      <c r="B99">
        <v>-0.33366498438148801</v>
      </c>
      <c r="C99">
        <v>0.19500000000000001</v>
      </c>
      <c r="D99">
        <v>0.33</v>
      </c>
      <c r="E99">
        <v>1</v>
      </c>
      <c r="F99" t="s">
        <v>2440</v>
      </c>
      <c r="G99" t="s">
        <v>2441</v>
      </c>
      <c r="H99" t="s">
        <v>2440</v>
      </c>
      <c r="I99" t="str">
        <f>HYPERLINK("https://zfin.org/ZDB-GENE-050417-409")</f>
        <v>https://zfin.org/ZDB-GENE-050417-409</v>
      </c>
      <c r="J99" t="s">
        <v>2439</v>
      </c>
    </row>
    <row r="100" spans="1:10" x14ac:dyDescent="0.2">
      <c r="A100">
        <v>1.63263171556172E-2</v>
      </c>
      <c r="B100">
        <v>-0.33360011425702701</v>
      </c>
      <c r="C100">
        <v>0.54500000000000004</v>
      </c>
      <c r="D100">
        <v>0.68799999999999994</v>
      </c>
      <c r="E100">
        <v>1</v>
      </c>
      <c r="F100" t="s">
        <v>3841</v>
      </c>
      <c r="G100" t="s">
        <v>3842</v>
      </c>
      <c r="H100" t="s">
        <v>3841</v>
      </c>
      <c r="I100" t="str">
        <f>HYPERLINK("https://zfin.org/ZDB-GENE-030131-2352")</f>
        <v>https://zfin.org/ZDB-GENE-030131-2352</v>
      </c>
      <c r="J100" t="s">
        <v>3840</v>
      </c>
    </row>
    <row r="101" spans="1:10" x14ac:dyDescent="0.2">
      <c r="A101">
        <v>1.9328215253725401E-2</v>
      </c>
      <c r="B101">
        <v>-0.31186732653440702</v>
      </c>
      <c r="C101">
        <v>4.9000000000000002E-2</v>
      </c>
      <c r="D101">
        <v>0.13800000000000001</v>
      </c>
      <c r="E101">
        <v>1</v>
      </c>
      <c r="F101" t="s">
        <v>3838</v>
      </c>
      <c r="G101" t="s">
        <v>3839</v>
      </c>
      <c r="H101" t="s">
        <v>3838</v>
      </c>
      <c r="I101" t="str">
        <f>HYPERLINK("https://zfin.org/ZDB-GENE-030131-2743")</f>
        <v>https://zfin.org/ZDB-GENE-030131-2743</v>
      </c>
      <c r="J101" t="s">
        <v>3837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74DB3-2CA0-7C44-8BB5-BBF1370DE59E}">
  <dimension ref="A1:J101"/>
  <sheetViews>
    <sheetView topLeftCell="A34"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7" width="20.5" customWidth="1"/>
    <col min="8" max="8" width="22.6640625" customWidth="1"/>
    <col min="9" max="9" width="8.5" customWidth="1"/>
    <col min="10" max="10" width="12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2.75651706680465E-22</v>
      </c>
      <c r="B2">
        <v>1.2611473177272201</v>
      </c>
      <c r="C2">
        <v>0.61</v>
      </c>
      <c r="D2">
        <v>5.1999999999999998E-2</v>
      </c>
      <c r="E2">
        <v>4.2679153745336401E-18</v>
      </c>
      <c r="F2" t="s">
        <v>2497</v>
      </c>
      <c r="G2" t="s">
        <v>2498</v>
      </c>
      <c r="H2" t="s">
        <v>2497</v>
      </c>
      <c r="I2" t="str">
        <f>HYPERLINK("https://zfin.org/ZDB-GENE-020419-4")</f>
        <v>https://zfin.org/ZDB-GENE-020419-4</v>
      </c>
      <c r="J2" t="s">
        <v>2496</v>
      </c>
    </row>
    <row r="3" spans="1:10" x14ac:dyDescent="0.2">
      <c r="A3">
        <v>1.2453934395417E-21</v>
      </c>
      <c r="B3">
        <v>1.45230306480712</v>
      </c>
      <c r="C3">
        <v>0.627</v>
      </c>
      <c r="D3">
        <v>6.7000000000000004E-2</v>
      </c>
      <c r="E3">
        <v>1.9282426624424099E-17</v>
      </c>
      <c r="F3" t="s">
        <v>2290</v>
      </c>
      <c r="G3" t="s">
        <v>2291</v>
      </c>
      <c r="H3" t="s">
        <v>2290</v>
      </c>
      <c r="I3" t="str">
        <f>HYPERLINK("https://zfin.org/ZDB-GENE-000210-8")</f>
        <v>https://zfin.org/ZDB-GENE-000210-8</v>
      </c>
      <c r="J3" t="s">
        <v>2289</v>
      </c>
    </row>
    <row r="4" spans="1:10" x14ac:dyDescent="0.2">
      <c r="A4">
        <v>8.5993373204373294E-18</v>
      </c>
      <c r="B4">
        <v>1.1968502210668801</v>
      </c>
      <c r="C4">
        <v>0.61</v>
      </c>
      <c r="D4">
        <v>8.7999999999999995E-2</v>
      </c>
      <c r="E4">
        <v>1.3314353973233101E-13</v>
      </c>
      <c r="F4" t="s">
        <v>2524</v>
      </c>
      <c r="G4" t="s">
        <v>2525</v>
      </c>
      <c r="H4" t="s">
        <v>2524</v>
      </c>
      <c r="I4" t="str">
        <f>HYPERLINK("https://zfin.org/ZDB-GENE-020419-24")</f>
        <v>https://zfin.org/ZDB-GENE-020419-24</v>
      </c>
      <c r="J4" t="s">
        <v>2523</v>
      </c>
    </row>
    <row r="5" spans="1:10" x14ac:dyDescent="0.2">
      <c r="A5">
        <v>9.0936677493906702E-16</v>
      </c>
      <c r="B5">
        <v>1.07878392567562</v>
      </c>
      <c r="C5">
        <v>0.50800000000000001</v>
      </c>
      <c r="D5">
        <v>6.2E-2</v>
      </c>
      <c r="E5">
        <v>1.4079725776381601E-11</v>
      </c>
      <c r="F5" t="s">
        <v>3051</v>
      </c>
      <c r="G5" t="s">
        <v>3052</v>
      </c>
      <c r="H5" t="s">
        <v>3051</v>
      </c>
      <c r="I5" t="str">
        <f>HYPERLINK("https://zfin.org/ZDB-GENE-030131-9923")</f>
        <v>https://zfin.org/ZDB-GENE-030131-9923</v>
      </c>
      <c r="J5" t="s">
        <v>3050</v>
      </c>
    </row>
    <row r="6" spans="1:10" x14ac:dyDescent="0.2">
      <c r="A6">
        <v>2.7690561834609801E-15</v>
      </c>
      <c r="B6">
        <v>1.07239863676445</v>
      </c>
      <c r="C6">
        <v>0.57599999999999996</v>
      </c>
      <c r="D6">
        <v>9.8000000000000004E-2</v>
      </c>
      <c r="E6">
        <v>4.28732968885264E-11</v>
      </c>
      <c r="F6" t="s">
        <v>2193</v>
      </c>
      <c r="G6" t="s">
        <v>2194</v>
      </c>
      <c r="H6" t="s">
        <v>2193</v>
      </c>
      <c r="I6" t="str">
        <f>HYPERLINK("https://zfin.org/ZDB-GENE-040426-977")</f>
        <v>https://zfin.org/ZDB-GENE-040426-977</v>
      </c>
      <c r="J6" t="s">
        <v>2192</v>
      </c>
    </row>
    <row r="7" spans="1:10" x14ac:dyDescent="0.2">
      <c r="A7">
        <v>6.0175427185464298E-15</v>
      </c>
      <c r="B7">
        <v>0.97597594089302198</v>
      </c>
      <c r="C7">
        <v>0.373</v>
      </c>
      <c r="D7">
        <v>2.1000000000000001E-2</v>
      </c>
      <c r="E7">
        <v>9.3169613911254296E-11</v>
      </c>
      <c r="F7" t="s">
        <v>3317</v>
      </c>
      <c r="G7" t="s">
        <v>3318</v>
      </c>
      <c r="H7" t="s">
        <v>3317</v>
      </c>
      <c r="I7" t="str">
        <f>HYPERLINK("https://zfin.org/ZDB-GENE-050417-29")</f>
        <v>https://zfin.org/ZDB-GENE-050417-29</v>
      </c>
      <c r="J7" t="s">
        <v>3316</v>
      </c>
    </row>
    <row r="8" spans="1:10" x14ac:dyDescent="0.2">
      <c r="A8">
        <v>7.9987206761690598E-14</v>
      </c>
      <c r="B8">
        <v>0.95932564931478304</v>
      </c>
      <c r="C8">
        <v>0.52500000000000002</v>
      </c>
      <c r="D8">
        <v>8.3000000000000004E-2</v>
      </c>
      <c r="E8">
        <v>1.2384419222912601E-9</v>
      </c>
      <c r="F8" t="s">
        <v>3054</v>
      </c>
      <c r="G8" t="s">
        <v>3055</v>
      </c>
      <c r="H8" t="s">
        <v>3054</v>
      </c>
      <c r="I8" t="str">
        <f>HYPERLINK("https://zfin.org/ZDB-GENE-030909-6")</f>
        <v>https://zfin.org/ZDB-GENE-030909-6</v>
      </c>
      <c r="J8" t="s">
        <v>3053</v>
      </c>
    </row>
    <row r="9" spans="1:10" x14ac:dyDescent="0.2">
      <c r="A9">
        <v>1.6656066659411601E-13</v>
      </c>
      <c r="B9">
        <v>1.0454683557673199</v>
      </c>
      <c r="C9">
        <v>0.441</v>
      </c>
      <c r="D9">
        <v>5.7000000000000002E-2</v>
      </c>
      <c r="E9">
        <v>2.5788588008767001E-9</v>
      </c>
      <c r="F9" t="s">
        <v>3399</v>
      </c>
      <c r="G9" t="s">
        <v>3400</v>
      </c>
      <c r="H9" t="s">
        <v>3399</v>
      </c>
      <c r="I9" t="str">
        <f>HYPERLINK("https://zfin.org/ZDB-GENE-021209-1")</f>
        <v>https://zfin.org/ZDB-GENE-021209-1</v>
      </c>
      <c r="J9" t="s">
        <v>3398</v>
      </c>
    </row>
    <row r="10" spans="1:10" x14ac:dyDescent="0.2">
      <c r="A10">
        <v>3.3863255642070799E-13</v>
      </c>
      <c r="B10">
        <v>0.77859938168840104</v>
      </c>
      <c r="C10">
        <v>0.30499999999999999</v>
      </c>
      <c r="D10">
        <v>0.01</v>
      </c>
      <c r="E10">
        <v>5.2430478710618297E-9</v>
      </c>
      <c r="F10" t="s">
        <v>4160</v>
      </c>
      <c r="G10" t="s">
        <v>4161</v>
      </c>
      <c r="H10" t="s">
        <v>4160</v>
      </c>
      <c r="I10" t="str">
        <f>HYPERLINK("https://zfin.org/ZDB-GENE-030131-5753")</f>
        <v>https://zfin.org/ZDB-GENE-030131-5753</v>
      </c>
      <c r="J10" t="s">
        <v>4159</v>
      </c>
    </row>
    <row r="11" spans="1:10" x14ac:dyDescent="0.2">
      <c r="A11">
        <v>7.1600880816979504E-13</v>
      </c>
      <c r="B11">
        <v>0.98635526017452402</v>
      </c>
      <c r="C11">
        <v>0.67800000000000005</v>
      </c>
      <c r="D11">
        <v>0.20200000000000001</v>
      </c>
      <c r="E11">
        <v>1.1085964376892899E-8</v>
      </c>
      <c r="F11" t="s">
        <v>4157</v>
      </c>
      <c r="G11" t="s">
        <v>4158</v>
      </c>
      <c r="H11" t="s">
        <v>4157</v>
      </c>
      <c r="I11" t="str">
        <f>HYPERLINK("https://zfin.org/ZDB-GENE-030411-2")</f>
        <v>https://zfin.org/ZDB-GENE-030411-2</v>
      </c>
      <c r="J11" t="s">
        <v>4156</v>
      </c>
    </row>
    <row r="12" spans="1:10" x14ac:dyDescent="0.2">
      <c r="A12">
        <v>9.1073067280280704E-13</v>
      </c>
      <c r="B12">
        <v>0.85333477498743704</v>
      </c>
      <c r="C12">
        <v>0.52500000000000002</v>
      </c>
      <c r="D12">
        <v>9.2999999999999999E-2</v>
      </c>
      <c r="E12">
        <v>1.41008430070059E-8</v>
      </c>
      <c r="F12" t="s">
        <v>2229</v>
      </c>
      <c r="G12" t="s">
        <v>2230</v>
      </c>
      <c r="H12" t="s">
        <v>2229</v>
      </c>
      <c r="I12" t="str">
        <f>HYPERLINK("https://zfin.org/ZDB-GENE-141212-376")</f>
        <v>https://zfin.org/ZDB-GENE-141212-376</v>
      </c>
      <c r="J12" t="s">
        <v>2228</v>
      </c>
    </row>
    <row r="13" spans="1:10" x14ac:dyDescent="0.2">
      <c r="A13">
        <v>2.4001346448625901E-12</v>
      </c>
      <c r="B13">
        <v>1.00234987841144</v>
      </c>
      <c r="C13">
        <v>0.45800000000000002</v>
      </c>
      <c r="D13">
        <v>7.2999999999999995E-2</v>
      </c>
      <c r="E13">
        <v>3.7161284706407401E-8</v>
      </c>
      <c r="F13" t="s">
        <v>2196</v>
      </c>
      <c r="G13" t="s">
        <v>2197</v>
      </c>
      <c r="H13" t="s">
        <v>2196</v>
      </c>
      <c r="I13" t="str">
        <f>HYPERLINK("https://zfin.org/ZDB-GENE-020419-27")</f>
        <v>https://zfin.org/ZDB-GENE-020419-27</v>
      </c>
      <c r="J13" t="s">
        <v>2195</v>
      </c>
    </row>
    <row r="14" spans="1:10" x14ac:dyDescent="0.2">
      <c r="A14">
        <v>4.3377833732493898E-12</v>
      </c>
      <c r="B14">
        <v>0.82407518149965198</v>
      </c>
      <c r="C14">
        <v>0.39</v>
      </c>
      <c r="D14">
        <v>4.7E-2</v>
      </c>
      <c r="E14">
        <v>6.7161899968020295E-8</v>
      </c>
      <c r="F14" t="s">
        <v>4154</v>
      </c>
      <c r="G14" t="s">
        <v>4155</v>
      </c>
      <c r="H14" t="s">
        <v>4154</v>
      </c>
      <c r="I14" t="str">
        <f>HYPERLINK("https://zfin.org/ZDB-GENE-030131-9544")</f>
        <v>https://zfin.org/ZDB-GENE-030131-9544</v>
      </c>
      <c r="J14" t="s">
        <v>4153</v>
      </c>
    </row>
    <row r="15" spans="1:10" x14ac:dyDescent="0.2">
      <c r="A15">
        <v>4.2147657811731298E-11</v>
      </c>
      <c r="B15">
        <v>0.77528639629028295</v>
      </c>
      <c r="C15">
        <v>0.373</v>
      </c>
      <c r="D15">
        <v>4.7E-2</v>
      </c>
      <c r="E15">
        <v>6.5257218589903496E-7</v>
      </c>
      <c r="F15" t="s">
        <v>2118</v>
      </c>
      <c r="G15" t="s">
        <v>2119</v>
      </c>
      <c r="H15" t="s">
        <v>2118</v>
      </c>
      <c r="I15" t="str">
        <f>HYPERLINK("https://zfin.org/ZDB-GENE-110404-2")</f>
        <v>https://zfin.org/ZDB-GENE-110404-2</v>
      </c>
      <c r="J15" t="s">
        <v>2117</v>
      </c>
    </row>
    <row r="16" spans="1:10" x14ac:dyDescent="0.2">
      <c r="A16">
        <v>1.1756104592076E-10</v>
      </c>
      <c r="B16">
        <v>0.65700933800162498</v>
      </c>
      <c r="C16">
        <v>0.30499999999999999</v>
      </c>
      <c r="D16">
        <v>2.5999999999999999E-2</v>
      </c>
      <c r="E16">
        <v>1.8201976739911199E-6</v>
      </c>
      <c r="F16" t="s">
        <v>2220</v>
      </c>
      <c r="G16" t="s">
        <v>2221</v>
      </c>
      <c r="H16" t="s">
        <v>2220</v>
      </c>
      <c r="I16" t="str">
        <f>HYPERLINK("https://zfin.org/ZDB-GENE-010131-3")</f>
        <v>https://zfin.org/ZDB-GENE-010131-3</v>
      </c>
      <c r="J16" t="s">
        <v>2219</v>
      </c>
    </row>
    <row r="17" spans="1:10" x14ac:dyDescent="0.2">
      <c r="A17">
        <v>3.9775030510126398E-10</v>
      </c>
      <c r="B17">
        <v>0.68703924035653097</v>
      </c>
      <c r="C17">
        <v>0.28799999999999998</v>
      </c>
      <c r="D17">
        <v>2.5999999999999999E-2</v>
      </c>
      <c r="E17">
        <v>6.15836797388287E-6</v>
      </c>
      <c r="F17" t="s">
        <v>4151</v>
      </c>
      <c r="G17" t="s">
        <v>4152</v>
      </c>
      <c r="H17" t="s">
        <v>4151</v>
      </c>
      <c r="I17" t="str">
        <f>HYPERLINK("https://zfin.org/ZDB-GENE-040426-976")</f>
        <v>https://zfin.org/ZDB-GENE-040426-976</v>
      </c>
      <c r="J17" t="s">
        <v>4150</v>
      </c>
    </row>
    <row r="18" spans="1:10" x14ac:dyDescent="0.2">
      <c r="A18">
        <v>9.5427001147098097E-10</v>
      </c>
      <c r="B18">
        <v>0.62936938240703899</v>
      </c>
      <c r="C18">
        <v>0.186</v>
      </c>
      <c r="D18">
        <v>0</v>
      </c>
      <c r="E18">
        <v>1.47749625876052E-5</v>
      </c>
      <c r="F18" t="s">
        <v>4148</v>
      </c>
      <c r="G18" t="s">
        <v>4149</v>
      </c>
      <c r="H18" t="s">
        <v>4148</v>
      </c>
      <c r="I18" t="str">
        <f>HYPERLINK("https://zfin.org/ZDB-GENE-040426-2932")</f>
        <v>https://zfin.org/ZDB-GENE-040426-2932</v>
      </c>
      <c r="J18" t="s">
        <v>4147</v>
      </c>
    </row>
    <row r="19" spans="1:10" x14ac:dyDescent="0.2">
      <c r="A19">
        <v>2.5610022500072602E-9</v>
      </c>
      <c r="B19">
        <v>0.67239345367095305</v>
      </c>
      <c r="C19">
        <v>0.22</v>
      </c>
      <c r="D19">
        <v>0.01</v>
      </c>
      <c r="E19">
        <v>3.9651997836862397E-5</v>
      </c>
      <c r="F19" t="s">
        <v>2093</v>
      </c>
      <c r="G19" t="s">
        <v>2094</v>
      </c>
      <c r="H19" t="s">
        <v>2093</v>
      </c>
      <c r="I19" t="str">
        <f>HYPERLINK("https://zfin.org/ZDB-GENE-010406-5")</f>
        <v>https://zfin.org/ZDB-GENE-010406-5</v>
      </c>
      <c r="J19" t="s">
        <v>2092</v>
      </c>
    </row>
    <row r="20" spans="1:10" x14ac:dyDescent="0.2">
      <c r="A20">
        <v>2.8012096500182199E-9</v>
      </c>
      <c r="B20">
        <v>0.55503603956655101</v>
      </c>
      <c r="C20">
        <v>0.254</v>
      </c>
      <c r="D20">
        <v>2.1000000000000001E-2</v>
      </c>
      <c r="E20">
        <v>4.3371129011232099E-5</v>
      </c>
      <c r="F20" t="s">
        <v>2253</v>
      </c>
      <c r="G20" t="s">
        <v>2254</v>
      </c>
      <c r="H20" t="s">
        <v>2253</v>
      </c>
      <c r="I20" t="str">
        <f>HYPERLINK("https://zfin.org/ZDB-GENE-990415-247")</f>
        <v>https://zfin.org/ZDB-GENE-990415-247</v>
      </c>
      <c r="J20" t="s">
        <v>2252</v>
      </c>
    </row>
    <row r="21" spans="1:10" x14ac:dyDescent="0.2">
      <c r="A21">
        <v>4.8474283944164502E-9</v>
      </c>
      <c r="B21">
        <v>0.66473416282296105</v>
      </c>
      <c r="C21">
        <v>0.35599999999999998</v>
      </c>
      <c r="D21">
        <v>6.2E-2</v>
      </c>
      <c r="E21">
        <v>7.5052733830749895E-5</v>
      </c>
      <c r="F21" t="s">
        <v>2100</v>
      </c>
      <c r="G21" t="s">
        <v>2101</v>
      </c>
      <c r="H21" t="s">
        <v>2100</v>
      </c>
      <c r="I21" t="str">
        <f>HYPERLINK("https://zfin.org/ZDB-GENE-040824-3")</f>
        <v>https://zfin.org/ZDB-GENE-040824-3</v>
      </c>
      <c r="J21" t="s">
        <v>2099</v>
      </c>
    </row>
    <row r="22" spans="1:10" x14ac:dyDescent="0.2">
      <c r="A22">
        <v>6.4879139093064997E-9</v>
      </c>
      <c r="B22">
        <v>0.71631384292487299</v>
      </c>
      <c r="C22">
        <v>0.441</v>
      </c>
      <c r="D22">
        <v>0.104</v>
      </c>
      <c r="E22">
        <v>1.0045237105779301E-4</v>
      </c>
      <c r="F22" t="s">
        <v>2054</v>
      </c>
      <c r="G22" t="s">
        <v>2055</v>
      </c>
      <c r="H22" t="s">
        <v>2054</v>
      </c>
      <c r="I22" t="str">
        <f>HYPERLINK("https://zfin.org/ZDB-GENE-020416-1")</f>
        <v>https://zfin.org/ZDB-GENE-020416-1</v>
      </c>
      <c r="J22" t="s">
        <v>2053</v>
      </c>
    </row>
    <row r="23" spans="1:10" x14ac:dyDescent="0.2">
      <c r="A23">
        <v>8.2143948140234395E-9</v>
      </c>
      <c r="B23">
        <v>0.72697964530896697</v>
      </c>
      <c r="C23">
        <v>0.64400000000000002</v>
      </c>
      <c r="D23">
        <v>0.24399999999999999</v>
      </c>
      <c r="E23">
        <v>1.2718347490552501E-4</v>
      </c>
      <c r="F23" t="s">
        <v>3515</v>
      </c>
      <c r="G23" t="s">
        <v>3516</v>
      </c>
      <c r="H23" t="s">
        <v>3515</v>
      </c>
      <c r="I23" t="str">
        <f>HYPERLINK("https://zfin.org/ZDB-GENE-040426-1936")</f>
        <v>https://zfin.org/ZDB-GENE-040426-1936</v>
      </c>
      <c r="J23" t="s">
        <v>3514</v>
      </c>
    </row>
    <row r="24" spans="1:10" x14ac:dyDescent="0.2">
      <c r="A24">
        <v>2.2945528696739601E-8</v>
      </c>
      <c r="B24">
        <v>0.58107806846882604</v>
      </c>
      <c r="C24">
        <v>0.23699999999999999</v>
      </c>
      <c r="D24">
        <v>2.1000000000000001E-2</v>
      </c>
      <c r="E24">
        <v>3.5526562081162E-4</v>
      </c>
      <c r="F24" t="s">
        <v>2057</v>
      </c>
      <c r="G24" t="s">
        <v>2058</v>
      </c>
      <c r="H24" t="s">
        <v>2057</v>
      </c>
      <c r="I24" t="str">
        <f>HYPERLINK("https://zfin.org/ZDB-GENE-040907-1")</f>
        <v>https://zfin.org/ZDB-GENE-040907-1</v>
      </c>
      <c r="J24" t="s">
        <v>2056</v>
      </c>
    </row>
    <row r="25" spans="1:10" x14ac:dyDescent="0.2">
      <c r="A25">
        <v>2.42656039757391E-8</v>
      </c>
      <c r="B25">
        <v>0.63975432326860804</v>
      </c>
      <c r="C25">
        <v>0.50800000000000001</v>
      </c>
      <c r="D25">
        <v>0.15</v>
      </c>
      <c r="E25">
        <v>3.7570434635636902E-4</v>
      </c>
      <c r="F25" t="s">
        <v>4145</v>
      </c>
      <c r="G25" t="s">
        <v>4146</v>
      </c>
      <c r="H25" t="s">
        <v>4145</v>
      </c>
      <c r="I25" t="str">
        <f>HYPERLINK("https://zfin.org/ZDB-GENE-031118-120")</f>
        <v>https://zfin.org/ZDB-GENE-031118-120</v>
      </c>
      <c r="J25" t="s">
        <v>4144</v>
      </c>
    </row>
    <row r="26" spans="1:10" x14ac:dyDescent="0.2">
      <c r="A26">
        <v>3.5853923273083697E-8</v>
      </c>
      <c r="B26">
        <v>0.418356421695328</v>
      </c>
      <c r="C26">
        <v>0.153</v>
      </c>
      <c r="D26">
        <v>0</v>
      </c>
      <c r="E26">
        <v>5.5512629403715495E-4</v>
      </c>
      <c r="F26" t="s">
        <v>4142</v>
      </c>
      <c r="G26" t="s">
        <v>4143</v>
      </c>
      <c r="H26" t="s">
        <v>4142</v>
      </c>
      <c r="I26" t="str">
        <f>HYPERLINK("https://zfin.org/ZDB-GENE-990714-15")</f>
        <v>https://zfin.org/ZDB-GENE-990714-15</v>
      </c>
      <c r="J26" t="s">
        <v>4141</v>
      </c>
    </row>
    <row r="27" spans="1:10" x14ac:dyDescent="0.2">
      <c r="A27">
        <v>3.5865298447603198E-8</v>
      </c>
      <c r="B27">
        <v>0.741881849422104</v>
      </c>
      <c r="C27">
        <v>0.61</v>
      </c>
      <c r="D27">
        <v>0.23799999999999999</v>
      </c>
      <c r="E27">
        <v>5.5530241586423999E-4</v>
      </c>
      <c r="F27" t="s">
        <v>2303</v>
      </c>
      <c r="G27" t="s">
        <v>2304</v>
      </c>
      <c r="H27" t="s">
        <v>2303</v>
      </c>
      <c r="I27" t="str">
        <f>HYPERLINK("https://zfin.org/ZDB-GENE-031006-14")</f>
        <v>https://zfin.org/ZDB-GENE-031006-14</v>
      </c>
      <c r="J27" t="s">
        <v>2302</v>
      </c>
    </row>
    <row r="28" spans="1:10" x14ac:dyDescent="0.2">
      <c r="A28">
        <v>3.8979738214335101E-8</v>
      </c>
      <c r="B28">
        <v>0.49822063402514599</v>
      </c>
      <c r="C28">
        <v>0.32200000000000001</v>
      </c>
      <c r="D28">
        <v>5.1999999999999998E-2</v>
      </c>
      <c r="E28">
        <v>6.0352328677255103E-4</v>
      </c>
      <c r="F28" t="s">
        <v>2214</v>
      </c>
      <c r="G28" t="s">
        <v>2215</v>
      </c>
      <c r="H28" t="s">
        <v>2214</v>
      </c>
      <c r="I28" t="str">
        <f>HYPERLINK("https://zfin.org/ZDB-GENE-030131-5366")</f>
        <v>https://zfin.org/ZDB-GENE-030131-5366</v>
      </c>
      <c r="J28" t="s">
        <v>2213</v>
      </c>
    </row>
    <row r="29" spans="1:10" x14ac:dyDescent="0.2">
      <c r="A29">
        <v>8.7345295304606803E-8</v>
      </c>
      <c r="B29">
        <v>0.41932202198588198</v>
      </c>
      <c r="C29">
        <v>0.186</v>
      </c>
      <c r="D29">
        <v>0.01</v>
      </c>
      <c r="E29">
        <v>1.3523672072012301E-3</v>
      </c>
      <c r="F29" t="s">
        <v>4139</v>
      </c>
      <c r="G29" t="s">
        <v>4140</v>
      </c>
      <c r="H29" t="s">
        <v>4139</v>
      </c>
      <c r="I29" t="str">
        <f>HYPERLINK("https://zfin.org/ZDB-GENE-050522-471")</f>
        <v>https://zfin.org/ZDB-GENE-050522-471</v>
      </c>
      <c r="J29" t="s">
        <v>4138</v>
      </c>
    </row>
    <row r="30" spans="1:10" x14ac:dyDescent="0.2">
      <c r="A30">
        <v>1.03963673169772E-7</v>
      </c>
      <c r="B30">
        <v>0.63948088315118201</v>
      </c>
      <c r="C30">
        <v>0.28799999999999998</v>
      </c>
      <c r="D30">
        <v>4.7E-2</v>
      </c>
      <c r="E30">
        <v>1.6096695516875799E-3</v>
      </c>
      <c r="F30" t="s">
        <v>2199</v>
      </c>
      <c r="G30" t="s">
        <v>2200</v>
      </c>
      <c r="H30" t="s">
        <v>2199</v>
      </c>
      <c r="I30" t="str">
        <f>HYPERLINK("https://zfin.org/ZDB-GENE-030131-5511")</f>
        <v>https://zfin.org/ZDB-GENE-030131-5511</v>
      </c>
      <c r="J30" t="s">
        <v>2198</v>
      </c>
    </row>
    <row r="31" spans="1:10" x14ac:dyDescent="0.2">
      <c r="A31">
        <v>1.3227779891460701E-7</v>
      </c>
      <c r="B31">
        <v>0.42907261964638799</v>
      </c>
      <c r="C31">
        <v>0.20300000000000001</v>
      </c>
      <c r="D31">
        <v>1.6E-2</v>
      </c>
      <c r="E31">
        <v>2.0480571605948602E-3</v>
      </c>
      <c r="F31" t="s">
        <v>4136</v>
      </c>
      <c r="G31" t="s">
        <v>4137</v>
      </c>
      <c r="H31" t="s">
        <v>4136</v>
      </c>
      <c r="I31" t="str">
        <f>HYPERLINK("https://zfin.org/ZDB-GENE-100922-71")</f>
        <v>https://zfin.org/ZDB-GENE-100922-71</v>
      </c>
      <c r="J31" t="s">
        <v>4135</v>
      </c>
    </row>
    <row r="32" spans="1:10" x14ac:dyDescent="0.2">
      <c r="A32">
        <v>1.7628291869512999E-7</v>
      </c>
      <c r="B32">
        <v>0.61147506373585603</v>
      </c>
      <c r="C32">
        <v>0.39</v>
      </c>
      <c r="D32">
        <v>9.8000000000000004E-2</v>
      </c>
      <c r="E32">
        <v>2.7293884301566999E-3</v>
      </c>
      <c r="F32" t="s">
        <v>4133</v>
      </c>
      <c r="G32" t="s">
        <v>4134</v>
      </c>
      <c r="H32" t="s">
        <v>4133</v>
      </c>
      <c r="I32" t="str">
        <f>HYPERLINK("https://zfin.org/ZDB-GENE-020419-28")</f>
        <v>https://zfin.org/ZDB-GENE-020419-28</v>
      </c>
      <c r="J32" t="s">
        <v>4132</v>
      </c>
    </row>
    <row r="33" spans="1:10" x14ac:dyDescent="0.2">
      <c r="A33">
        <v>2.32111899551208E-7</v>
      </c>
      <c r="B33">
        <v>0.59106953840749898</v>
      </c>
      <c r="C33">
        <v>0.27100000000000002</v>
      </c>
      <c r="D33">
        <v>4.1000000000000002E-2</v>
      </c>
      <c r="E33">
        <v>3.59378854075136E-3</v>
      </c>
      <c r="F33" t="s">
        <v>4130</v>
      </c>
      <c r="G33" t="s">
        <v>4131</v>
      </c>
      <c r="H33" t="s">
        <v>4130</v>
      </c>
      <c r="I33" t="str">
        <f>HYPERLINK("https://zfin.org/ZDB-GENE-131127-286")</f>
        <v>https://zfin.org/ZDB-GENE-131127-286</v>
      </c>
      <c r="J33" t="s">
        <v>4129</v>
      </c>
    </row>
    <row r="34" spans="1:10" x14ac:dyDescent="0.2">
      <c r="A34">
        <v>2.9425943880853801E-7</v>
      </c>
      <c r="B34">
        <v>0.61021028421544898</v>
      </c>
      <c r="C34">
        <v>0.23699999999999999</v>
      </c>
      <c r="D34">
        <v>3.1E-2</v>
      </c>
      <c r="E34">
        <v>4.5560188910725901E-3</v>
      </c>
      <c r="F34" t="s">
        <v>2078</v>
      </c>
      <c r="G34" t="s">
        <v>2079</v>
      </c>
      <c r="H34" t="s">
        <v>2078</v>
      </c>
      <c r="I34" t="str">
        <f>HYPERLINK("https://zfin.org/ZDB-GENE-031112-11")</f>
        <v>https://zfin.org/ZDB-GENE-031112-11</v>
      </c>
      <c r="J34" t="s">
        <v>2077</v>
      </c>
    </row>
    <row r="35" spans="1:10" x14ac:dyDescent="0.2">
      <c r="A35">
        <v>5.0697932522538397E-7</v>
      </c>
      <c r="B35">
        <v>0.51105339448627296</v>
      </c>
      <c r="C35">
        <v>0.22</v>
      </c>
      <c r="D35">
        <v>2.5999999999999999E-2</v>
      </c>
      <c r="E35">
        <v>7.8495608924646198E-3</v>
      </c>
      <c r="F35" t="s">
        <v>4127</v>
      </c>
      <c r="G35" t="s">
        <v>4128</v>
      </c>
      <c r="H35" t="s">
        <v>4127</v>
      </c>
      <c r="I35" t="str">
        <f>HYPERLINK("https://zfin.org/ZDB-GENE-030131-9676")</f>
        <v>https://zfin.org/ZDB-GENE-030131-9676</v>
      </c>
      <c r="J35" t="s">
        <v>4126</v>
      </c>
    </row>
    <row r="36" spans="1:10" x14ac:dyDescent="0.2">
      <c r="A36">
        <v>9.2108025992816899E-7</v>
      </c>
      <c r="B36">
        <v>0.50163472212590299</v>
      </c>
      <c r="C36">
        <v>0.39</v>
      </c>
      <c r="D36">
        <v>0.104</v>
      </c>
      <c r="E36">
        <v>1.42610856644678E-2</v>
      </c>
      <c r="F36" t="s">
        <v>4124</v>
      </c>
      <c r="G36" t="s">
        <v>4125</v>
      </c>
      <c r="H36" t="s">
        <v>4124</v>
      </c>
      <c r="I36" t="str">
        <f>HYPERLINK("https://zfin.org/ZDB-GENE-030912-3")</f>
        <v>https://zfin.org/ZDB-GENE-030912-3</v>
      </c>
      <c r="J36" t="s">
        <v>4123</v>
      </c>
    </row>
    <row r="37" spans="1:10" x14ac:dyDescent="0.2">
      <c r="A37">
        <v>9.541840454490949E-7</v>
      </c>
      <c r="B37">
        <v>0.58279450832010904</v>
      </c>
      <c r="C37">
        <v>0.59299999999999997</v>
      </c>
      <c r="D37">
        <v>0.22800000000000001</v>
      </c>
      <c r="E37">
        <v>1.47736315756883E-2</v>
      </c>
      <c r="F37" t="s">
        <v>4121</v>
      </c>
      <c r="G37" t="s">
        <v>4122</v>
      </c>
      <c r="H37" t="s">
        <v>4121</v>
      </c>
      <c r="I37" t="str">
        <f>HYPERLINK("https://zfin.org/ZDB-GENE-030131-5553")</f>
        <v>https://zfin.org/ZDB-GENE-030131-5553</v>
      </c>
      <c r="J37" t="s">
        <v>4120</v>
      </c>
    </row>
    <row r="38" spans="1:10" x14ac:dyDescent="0.2">
      <c r="A38">
        <v>9.9078831420114393E-7</v>
      </c>
      <c r="B38">
        <v>0.41772447238377097</v>
      </c>
      <c r="C38">
        <v>0.30499999999999999</v>
      </c>
      <c r="D38">
        <v>6.2E-2</v>
      </c>
      <c r="E38">
        <v>1.5340375468776301E-2</v>
      </c>
      <c r="F38" t="s">
        <v>4118</v>
      </c>
      <c r="G38" t="s">
        <v>4119</v>
      </c>
      <c r="H38" t="s">
        <v>4118</v>
      </c>
      <c r="I38" t="str">
        <f>HYPERLINK("https://zfin.org/ZDB-GENE-040426-2741")</f>
        <v>https://zfin.org/ZDB-GENE-040426-2741</v>
      </c>
      <c r="J38" t="s">
        <v>4117</v>
      </c>
    </row>
    <row r="39" spans="1:10" x14ac:dyDescent="0.2">
      <c r="A39">
        <v>1.30333079173397E-6</v>
      </c>
      <c r="B39">
        <v>0.35753072884541098</v>
      </c>
      <c r="C39">
        <v>0.11899999999999999</v>
      </c>
      <c r="D39">
        <v>0</v>
      </c>
      <c r="E39">
        <v>2.0179470648417099E-2</v>
      </c>
      <c r="F39" t="s">
        <v>4115</v>
      </c>
      <c r="G39" t="s">
        <v>4116</v>
      </c>
      <c r="H39" t="s">
        <v>4115</v>
      </c>
      <c r="I39" t="str">
        <f>HYPERLINK("https://zfin.org/ZDB-GENE-030429-30")</f>
        <v>https://zfin.org/ZDB-GENE-030429-30</v>
      </c>
      <c r="J39" t="s">
        <v>4114</v>
      </c>
    </row>
    <row r="40" spans="1:10" x14ac:dyDescent="0.2">
      <c r="A40">
        <v>3.1429059114930299E-6</v>
      </c>
      <c r="B40">
        <v>0.59195912961593999</v>
      </c>
      <c r="C40">
        <v>0.67800000000000005</v>
      </c>
      <c r="D40">
        <v>0.33200000000000002</v>
      </c>
      <c r="E40">
        <v>4.8661612227646603E-2</v>
      </c>
      <c r="F40" t="s">
        <v>4112</v>
      </c>
      <c r="G40" t="s">
        <v>4113</v>
      </c>
      <c r="H40" t="s">
        <v>4112</v>
      </c>
      <c r="I40" t="str">
        <f>HYPERLINK("https://zfin.org/ZDB-GENE-040426-2548")</f>
        <v>https://zfin.org/ZDB-GENE-040426-2548</v>
      </c>
      <c r="J40" t="s">
        <v>4111</v>
      </c>
    </row>
    <row r="41" spans="1:10" x14ac:dyDescent="0.2">
      <c r="A41">
        <v>3.2790896780372899E-6</v>
      </c>
      <c r="B41">
        <v>0.38007494947945297</v>
      </c>
      <c r="C41">
        <v>0.153</v>
      </c>
      <c r="D41">
        <v>0.01</v>
      </c>
      <c r="E41">
        <v>5.07701454850513E-2</v>
      </c>
      <c r="F41" t="s">
        <v>2217</v>
      </c>
      <c r="G41" t="s">
        <v>2218</v>
      </c>
      <c r="H41" t="s">
        <v>2217</v>
      </c>
      <c r="I41" t="str">
        <f>HYPERLINK("https://zfin.org/ZDB-GENE-040426-59")</f>
        <v>https://zfin.org/ZDB-GENE-040426-59</v>
      </c>
      <c r="J41" t="s">
        <v>2216</v>
      </c>
    </row>
    <row r="42" spans="1:10" x14ac:dyDescent="0.2">
      <c r="A42">
        <v>3.6817805739495E-6</v>
      </c>
      <c r="B42">
        <v>0.48324340016279599</v>
      </c>
      <c r="C42">
        <v>0.254</v>
      </c>
      <c r="D42">
        <v>4.7E-2</v>
      </c>
      <c r="E42">
        <v>5.7005008626460199E-2</v>
      </c>
      <c r="F42" t="s">
        <v>4109</v>
      </c>
      <c r="G42" t="s">
        <v>4110</v>
      </c>
      <c r="H42" t="s">
        <v>4109</v>
      </c>
      <c r="I42" t="str">
        <f>HYPERLINK("https://zfin.org/ZDB-GENE-030131-2469")</f>
        <v>https://zfin.org/ZDB-GENE-030131-2469</v>
      </c>
      <c r="J42" t="s">
        <v>4108</v>
      </c>
    </row>
    <row r="43" spans="1:10" x14ac:dyDescent="0.2">
      <c r="A43">
        <v>3.8045715696896801E-6</v>
      </c>
      <c r="B43">
        <v>0.303520136807582</v>
      </c>
      <c r="C43">
        <v>0.16900000000000001</v>
      </c>
      <c r="D43">
        <v>1.6E-2</v>
      </c>
      <c r="E43">
        <v>5.8906181613505401E-2</v>
      </c>
      <c r="F43" t="s">
        <v>4106</v>
      </c>
      <c r="G43" t="s">
        <v>4107</v>
      </c>
      <c r="H43" t="s">
        <v>4106</v>
      </c>
      <c r="I43" t="str">
        <f>HYPERLINK("https://zfin.org/ZDB-GENE-060810-98")</f>
        <v>https://zfin.org/ZDB-GENE-060810-98</v>
      </c>
      <c r="J43" t="s">
        <v>4105</v>
      </c>
    </row>
    <row r="44" spans="1:10" x14ac:dyDescent="0.2">
      <c r="A44">
        <v>4.3349476022666598E-6</v>
      </c>
      <c r="B44">
        <v>0.44491731725268602</v>
      </c>
      <c r="C44">
        <v>0.35599999999999998</v>
      </c>
      <c r="D44">
        <v>9.8000000000000004E-2</v>
      </c>
      <c r="E44">
        <v>6.7117993725894706E-2</v>
      </c>
      <c r="F44" t="s">
        <v>4103</v>
      </c>
      <c r="G44" t="s">
        <v>4104</v>
      </c>
      <c r="H44" t="s">
        <v>4103</v>
      </c>
      <c r="I44" t="str">
        <f>HYPERLINK("https://zfin.org/ZDB-GENE-050506-79")</f>
        <v>https://zfin.org/ZDB-GENE-050506-79</v>
      </c>
      <c r="J44" t="s">
        <v>4102</v>
      </c>
    </row>
    <row r="45" spans="1:10" x14ac:dyDescent="0.2">
      <c r="A45">
        <v>5.1638956961289899E-6</v>
      </c>
      <c r="B45">
        <v>0.55002391159000996</v>
      </c>
      <c r="C45">
        <v>0.373</v>
      </c>
      <c r="D45">
        <v>0.114</v>
      </c>
      <c r="E45">
        <v>7.9952597063165098E-2</v>
      </c>
      <c r="F45" t="s">
        <v>4100</v>
      </c>
      <c r="G45" t="s">
        <v>4101</v>
      </c>
      <c r="H45" t="s">
        <v>4100</v>
      </c>
      <c r="I45" t="str">
        <f>HYPERLINK("https://zfin.org/ZDB-GENE-031118-96")</f>
        <v>https://zfin.org/ZDB-GENE-031118-96</v>
      </c>
      <c r="J45" t="s">
        <v>4099</v>
      </c>
    </row>
    <row r="46" spans="1:10" x14ac:dyDescent="0.2">
      <c r="A46">
        <v>5.9802450195128402E-6</v>
      </c>
      <c r="B46">
        <v>0.57261725017257803</v>
      </c>
      <c r="C46">
        <v>0.69499999999999995</v>
      </c>
      <c r="D46">
        <v>0.373</v>
      </c>
      <c r="E46">
        <v>9.2592133637117199E-2</v>
      </c>
      <c r="F46" t="s">
        <v>1328</v>
      </c>
      <c r="G46" t="s">
        <v>1329</v>
      </c>
      <c r="H46" t="s">
        <v>1328</v>
      </c>
      <c r="I46" t="str">
        <f>HYPERLINK("https://zfin.org/ZDB-GENE-070424-30")</f>
        <v>https://zfin.org/ZDB-GENE-070424-30</v>
      </c>
      <c r="J46" t="s">
        <v>1327</v>
      </c>
    </row>
    <row r="47" spans="1:10" x14ac:dyDescent="0.2">
      <c r="A47">
        <v>6.5871056491129201E-6</v>
      </c>
      <c r="B47">
        <v>0.41965525723236402</v>
      </c>
      <c r="C47">
        <v>0.22</v>
      </c>
      <c r="D47">
        <v>3.5999999999999997E-2</v>
      </c>
      <c r="E47">
        <v>0.101988156765215</v>
      </c>
      <c r="F47" t="s">
        <v>4097</v>
      </c>
      <c r="G47" t="s">
        <v>4098</v>
      </c>
      <c r="H47" t="s">
        <v>4097</v>
      </c>
      <c r="I47" t="str">
        <f>HYPERLINK("https://zfin.org/ZDB-GENE-050522-26")</f>
        <v>https://zfin.org/ZDB-GENE-050522-26</v>
      </c>
      <c r="J47" t="s">
        <v>4096</v>
      </c>
    </row>
    <row r="48" spans="1:10" x14ac:dyDescent="0.2">
      <c r="A48">
        <v>7.1381353151671101E-6</v>
      </c>
      <c r="B48">
        <v>0.37745389919470401</v>
      </c>
      <c r="C48">
        <v>0.23699999999999999</v>
      </c>
      <c r="D48">
        <v>4.1000000000000002E-2</v>
      </c>
      <c r="E48">
        <v>0.110519749084732</v>
      </c>
      <c r="F48" t="s">
        <v>4094</v>
      </c>
      <c r="G48" t="s">
        <v>4095</v>
      </c>
      <c r="H48" t="s">
        <v>4094</v>
      </c>
      <c r="I48" t="str">
        <f>HYPERLINK("https://zfin.org/ZDB-GENE-030131-607")</f>
        <v>https://zfin.org/ZDB-GENE-030131-607</v>
      </c>
      <c r="J48" t="s">
        <v>4093</v>
      </c>
    </row>
    <row r="49" spans="1:10" x14ac:dyDescent="0.2">
      <c r="A49">
        <v>7.7526882080370703E-6</v>
      </c>
      <c r="B49">
        <v>0.37871980486246198</v>
      </c>
      <c r="C49">
        <v>0.30499999999999999</v>
      </c>
      <c r="D49">
        <v>7.2999999999999995E-2</v>
      </c>
      <c r="E49">
        <v>0.120034871525038</v>
      </c>
      <c r="F49" t="s">
        <v>4091</v>
      </c>
      <c r="G49" t="s">
        <v>4092</v>
      </c>
      <c r="H49" t="s">
        <v>4091</v>
      </c>
      <c r="I49" t="str">
        <f>HYPERLINK("https://zfin.org/ZDB-GENE-061027-60")</f>
        <v>https://zfin.org/ZDB-GENE-061027-60</v>
      </c>
      <c r="J49" t="s">
        <v>4090</v>
      </c>
    </row>
    <row r="50" spans="1:10" x14ac:dyDescent="0.2">
      <c r="A50">
        <v>9.3307191198420895E-6</v>
      </c>
      <c r="B50">
        <v>0.69604947300919195</v>
      </c>
      <c r="C50">
        <v>0.28799999999999998</v>
      </c>
      <c r="D50">
        <v>7.2999999999999995E-2</v>
      </c>
      <c r="E50">
        <v>0.14446752413251501</v>
      </c>
      <c r="F50" t="s">
        <v>2244</v>
      </c>
      <c r="G50" t="s">
        <v>2245</v>
      </c>
      <c r="H50" t="s">
        <v>2244</v>
      </c>
      <c r="I50" t="str">
        <f>HYPERLINK("https://zfin.org/")</f>
        <v>https://zfin.org/</v>
      </c>
      <c r="J50" t="s">
        <v>2243</v>
      </c>
    </row>
    <row r="51" spans="1:10" x14ac:dyDescent="0.2">
      <c r="A51">
        <v>9.3930913050459499E-6</v>
      </c>
      <c r="B51">
        <v>0.60699160382043205</v>
      </c>
      <c r="C51">
        <v>0.32200000000000001</v>
      </c>
      <c r="D51">
        <v>8.7999999999999995E-2</v>
      </c>
      <c r="E51">
        <v>0.14543323267602701</v>
      </c>
      <c r="F51" t="s">
        <v>4088</v>
      </c>
      <c r="G51" t="s">
        <v>4089</v>
      </c>
      <c r="H51" t="s">
        <v>4088</v>
      </c>
      <c r="I51" t="str">
        <f>HYPERLINK("https://zfin.org/ZDB-GENE-031001-8")</f>
        <v>https://zfin.org/ZDB-GENE-031001-8</v>
      </c>
      <c r="J51" t="s">
        <v>4087</v>
      </c>
    </row>
    <row r="52" spans="1:10" x14ac:dyDescent="0.2">
      <c r="A52">
        <v>9.6032867277916097E-6</v>
      </c>
      <c r="B52">
        <v>0.590230515704532</v>
      </c>
      <c r="C52">
        <v>0.86399999999999999</v>
      </c>
      <c r="D52">
        <v>0.61099999999999999</v>
      </c>
      <c r="E52">
        <v>0.14868768840639801</v>
      </c>
      <c r="F52" t="s">
        <v>2238</v>
      </c>
      <c r="G52" t="s">
        <v>2239</v>
      </c>
      <c r="H52" t="s">
        <v>2238</v>
      </c>
      <c r="I52" t="str">
        <f>HYPERLINK("https://zfin.org/ZDB-GENE-030131-8625")</f>
        <v>https://zfin.org/ZDB-GENE-030131-8625</v>
      </c>
      <c r="J52" t="s">
        <v>2237</v>
      </c>
    </row>
    <row r="53" spans="1:10" x14ac:dyDescent="0.2">
      <c r="A53">
        <v>9.9471092257863099E-6</v>
      </c>
      <c r="B53">
        <v>0.69258013151402398</v>
      </c>
      <c r="C53">
        <v>0.186</v>
      </c>
      <c r="D53">
        <v>2.5999999999999999E-2</v>
      </c>
      <c r="E53">
        <v>0.154011092142849</v>
      </c>
      <c r="F53" t="s">
        <v>1298</v>
      </c>
      <c r="G53" t="s">
        <v>1299</v>
      </c>
      <c r="H53" t="s">
        <v>1298</v>
      </c>
      <c r="I53" t="str">
        <f>HYPERLINK("https://zfin.org/ZDB-GENE-070502-5")</f>
        <v>https://zfin.org/ZDB-GENE-070502-5</v>
      </c>
      <c r="J53" t="s">
        <v>1297</v>
      </c>
    </row>
    <row r="54" spans="1:10" x14ac:dyDescent="0.2">
      <c r="A54">
        <v>1.00650155353259E-5</v>
      </c>
      <c r="B54">
        <v>0.50121252900795599</v>
      </c>
      <c r="C54">
        <v>0.49199999999999999</v>
      </c>
      <c r="D54">
        <v>0.192</v>
      </c>
      <c r="E54">
        <v>0.15583663553345001</v>
      </c>
      <c r="F54" t="s">
        <v>3347</v>
      </c>
      <c r="G54" t="s">
        <v>3348</v>
      </c>
      <c r="H54" t="s">
        <v>3347</v>
      </c>
      <c r="I54" t="str">
        <f>HYPERLINK("https://zfin.org/ZDB-GENE-050522-309")</f>
        <v>https://zfin.org/ZDB-GENE-050522-309</v>
      </c>
      <c r="J54" t="s">
        <v>3346</v>
      </c>
    </row>
    <row r="55" spans="1:10" x14ac:dyDescent="0.2">
      <c r="A55">
        <v>1.08572240508711E-5</v>
      </c>
      <c r="B55">
        <v>0.420909228389243</v>
      </c>
      <c r="C55">
        <v>0.32200000000000001</v>
      </c>
      <c r="D55">
        <v>8.3000000000000004E-2</v>
      </c>
      <c r="E55">
        <v>0.168102399979637</v>
      </c>
      <c r="F55" t="s">
        <v>2175</v>
      </c>
      <c r="G55" t="s">
        <v>2176</v>
      </c>
      <c r="H55" t="s">
        <v>2175</v>
      </c>
      <c r="I55" t="str">
        <f>HYPERLINK("https://zfin.org/ZDB-GENE-030131-445")</f>
        <v>https://zfin.org/ZDB-GENE-030131-445</v>
      </c>
      <c r="J55" t="s">
        <v>2174</v>
      </c>
    </row>
    <row r="56" spans="1:10" x14ac:dyDescent="0.2">
      <c r="A56">
        <v>1.2451380143933799E-5</v>
      </c>
      <c r="B56">
        <v>0.55295199612532997</v>
      </c>
      <c r="C56">
        <v>0.28799999999999998</v>
      </c>
      <c r="D56">
        <v>7.2999999999999995E-2</v>
      </c>
      <c r="E56">
        <v>0.19278471876852701</v>
      </c>
      <c r="F56" t="s">
        <v>4085</v>
      </c>
      <c r="G56" t="s">
        <v>4086</v>
      </c>
      <c r="H56" t="s">
        <v>4085</v>
      </c>
      <c r="I56" t="str">
        <f>HYPERLINK("https://zfin.org/ZDB-GENE-010328-16")</f>
        <v>https://zfin.org/ZDB-GENE-010328-16</v>
      </c>
      <c r="J56" t="s">
        <v>4084</v>
      </c>
    </row>
    <row r="57" spans="1:10" x14ac:dyDescent="0.2">
      <c r="A57">
        <v>1.2700444189420401E-5</v>
      </c>
      <c r="B57">
        <v>0.49305954093253102</v>
      </c>
      <c r="C57">
        <v>0.186</v>
      </c>
      <c r="D57">
        <v>2.5999999999999999E-2</v>
      </c>
      <c r="E57">
        <v>0.196640977384796</v>
      </c>
      <c r="F57" t="s">
        <v>2039</v>
      </c>
      <c r="G57" t="s">
        <v>2040</v>
      </c>
      <c r="H57" t="s">
        <v>2039</v>
      </c>
      <c r="I57" t="str">
        <f>HYPERLINK("https://zfin.org/ZDB-GENE-060429-1")</f>
        <v>https://zfin.org/ZDB-GENE-060429-1</v>
      </c>
      <c r="J57" t="s">
        <v>2038</v>
      </c>
    </row>
    <row r="58" spans="1:10" x14ac:dyDescent="0.2">
      <c r="A58">
        <v>1.3761748618002399E-5</v>
      </c>
      <c r="B58">
        <v>0.34304331853921399</v>
      </c>
      <c r="C58">
        <v>0.11899999999999999</v>
      </c>
      <c r="D58">
        <v>5.0000000000000001E-3</v>
      </c>
      <c r="E58">
        <v>0.213073153852532</v>
      </c>
      <c r="F58" t="s">
        <v>4082</v>
      </c>
      <c r="G58" t="s">
        <v>4083</v>
      </c>
      <c r="H58" t="s">
        <v>4082</v>
      </c>
      <c r="I58" t="str">
        <f>HYPERLINK("https://zfin.org/")</f>
        <v>https://zfin.org/</v>
      </c>
    </row>
    <row r="59" spans="1:10" x14ac:dyDescent="0.2">
      <c r="A59">
        <v>1.63295061245291E-5</v>
      </c>
      <c r="B59">
        <v>0.35929890492966599</v>
      </c>
      <c r="C59">
        <v>0.23699999999999999</v>
      </c>
      <c r="D59">
        <v>4.7E-2</v>
      </c>
      <c r="E59">
        <v>0.25282974332608399</v>
      </c>
      <c r="F59" t="s">
        <v>4080</v>
      </c>
      <c r="G59" t="s">
        <v>4081</v>
      </c>
      <c r="H59" t="s">
        <v>4080</v>
      </c>
      <c r="I59" t="str">
        <f>HYPERLINK("https://zfin.org/ZDB-GENE-030131-4017")</f>
        <v>https://zfin.org/ZDB-GENE-030131-4017</v>
      </c>
      <c r="J59" t="s">
        <v>4079</v>
      </c>
    </row>
    <row r="60" spans="1:10" x14ac:dyDescent="0.2">
      <c r="A60">
        <v>1.8167517723689698E-5</v>
      </c>
      <c r="B60">
        <v>0.40653671794915802</v>
      </c>
      <c r="C60">
        <v>0.94899999999999995</v>
      </c>
      <c r="D60">
        <v>0.94299999999999995</v>
      </c>
      <c r="E60">
        <v>0.28128767691588802</v>
      </c>
      <c r="F60" t="s">
        <v>34</v>
      </c>
      <c r="G60" t="s">
        <v>35</v>
      </c>
      <c r="H60" t="s">
        <v>34</v>
      </c>
      <c r="I60" t="str">
        <f>HYPERLINK("https://zfin.org/ZDB-GENE-030131-3532")</f>
        <v>https://zfin.org/ZDB-GENE-030131-3532</v>
      </c>
      <c r="J60" t="s">
        <v>36</v>
      </c>
    </row>
    <row r="61" spans="1:10" x14ac:dyDescent="0.2">
      <c r="A61">
        <v>1.90793223986081E-5</v>
      </c>
      <c r="B61">
        <v>0.32584691180901698</v>
      </c>
      <c r="C61">
        <v>0.13600000000000001</v>
      </c>
      <c r="D61">
        <v>0.01</v>
      </c>
      <c r="E61">
        <v>0.295405148697649</v>
      </c>
      <c r="F61" t="s">
        <v>4077</v>
      </c>
      <c r="G61" t="s">
        <v>4078</v>
      </c>
      <c r="H61" t="s">
        <v>4077</v>
      </c>
      <c r="I61" t="str">
        <f>HYPERLINK("https://zfin.org/ZDB-GENE-030114-9")</f>
        <v>https://zfin.org/ZDB-GENE-030114-9</v>
      </c>
      <c r="J61" t="s">
        <v>4076</v>
      </c>
    </row>
    <row r="62" spans="1:10" x14ac:dyDescent="0.2">
      <c r="A62">
        <v>1.9083637492670401E-5</v>
      </c>
      <c r="B62">
        <v>0.54571836796594697</v>
      </c>
      <c r="C62">
        <v>0.72899999999999998</v>
      </c>
      <c r="D62">
        <v>0.49199999999999999</v>
      </c>
      <c r="E62">
        <v>0.29547195929901598</v>
      </c>
      <c r="F62" t="s">
        <v>2569</v>
      </c>
      <c r="G62" t="s">
        <v>2570</v>
      </c>
      <c r="H62" t="s">
        <v>2569</v>
      </c>
      <c r="I62" t="str">
        <f>HYPERLINK("https://zfin.org/ZDB-GENE-030131-9167")</f>
        <v>https://zfin.org/ZDB-GENE-030131-9167</v>
      </c>
      <c r="J62" t="s">
        <v>2568</v>
      </c>
    </row>
    <row r="63" spans="1:10" x14ac:dyDescent="0.2">
      <c r="A63">
        <v>2.0840408400480999E-5</v>
      </c>
      <c r="B63">
        <v>0.36995145080756298</v>
      </c>
      <c r="C63">
        <v>0.373</v>
      </c>
      <c r="D63">
        <v>0.114</v>
      </c>
      <c r="E63">
        <v>0.32267204326464699</v>
      </c>
      <c r="F63" t="s">
        <v>4074</v>
      </c>
      <c r="G63" t="s">
        <v>4075</v>
      </c>
      <c r="H63" t="s">
        <v>4074</v>
      </c>
      <c r="I63" t="str">
        <f>HYPERLINK("https://zfin.org/ZDB-GENE-040426-1389")</f>
        <v>https://zfin.org/ZDB-GENE-040426-1389</v>
      </c>
      <c r="J63" t="s">
        <v>4073</v>
      </c>
    </row>
    <row r="64" spans="1:10" x14ac:dyDescent="0.2">
      <c r="A64">
        <v>4.4349023930792601E-5</v>
      </c>
      <c r="B64">
        <v>0.47922080937010703</v>
      </c>
      <c r="C64">
        <v>0.72899999999999998</v>
      </c>
      <c r="D64">
        <v>0.40400000000000003</v>
      </c>
      <c r="E64">
        <v>0.68665593752046095</v>
      </c>
      <c r="F64" t="s">
        <v>3257</v>
      </c>
      <c r="G64" t="s">
        <v>3258</v>
      </c>
      <c r="H64" t="s">
        <v>3257</v>
      </c>
      <c r="I64" t="str">
        <f>HYPERLINK("https://zfin.org/ZDB-GENE-041007-4")</f>
        <v>https://zfin.org/ZDB-GENE-041007-4</v>
      </c>
      <c r="J64" t="s">
        <v>3256</v>
      </c>
    </row>
    <row r="65" spans="1:10" x14ac:dyDescent="0.2">
      <c r="A65">
        <v>5.28412391884041E-5</v>
      </c>
      <c r="B65">
        <v>0.43912966377113499</v>
      </c>
      <c r="C65">
        <v>0.49199999999999999</v>
      </c>
      <c r="D65">
        <v>0.20200000000000001</v>
      </c>
      <c r="E65">
        <v>0.818140906354061</v>
      </c>
      <c r="F65" t="s">
        <v>2683</v>
      </c>
      <c r="G65" t="s">
        <v>2684</v>
      </c>
      <c r="H65" t="s">
        <v>2683</v>
      </c>
      <c r="I65" t="str">
        <f>HYPERLINK("https://zfin.org/ZDB-GENE-040912-91")</f>
        <v>https://zfin.org/ZDB-GENE-040912-91</v>
      </c>
      <c r="J65" t="s">
        <v>2682</v>
      </c>
    </row>
    <row r="66" spans="1:10" x14ac:dyDescent="0.2">
      <c r="A66">
        <v>6.1620747017466002E-5</v>
      </c>
      <c r="B66">
        <v>0.27268926339517702</v>
      </c>
      <c r="C66">
        <v>0.16900000000000001</v>
      </c>
      <c r="D66">
        <v>2.5999999999999999E-2</v>
      </c>
      <c r="E66">
        <v>0.954074026071426</v>
      </c>
      <c r="F66" t="s">
        <v>4071</v>
      </c>
      <c r="G66" t="s">
        <v>4072</v>
      </c>
      <c r="H66" t="s">
        <v>4071</v>
      </c>
      <c r="I66" t="str">
        <f>HYPERLINK("https://zfin.org/ZDB-GENE-030828-11")</f>
        <v>https://zfin.org/ZDB-GENE-030828-11</v>
      </c>
      <c r="J66" t="s">
        <v>4070</v>
      </c>
    </row>
    <row r="67" spans="1:10" x14ac:dyDescent="0.2">
      <c r="A67">
        <v>6.9891580648354294E-5</v>
      </c>
      <c r="B67">
        <v>0.25019408255894299</v>
      </c>
      <c r="C67">
        <v>0.16900000000000001</v>
      </c>
      <c r="D67">
        <v>2.5999999999999999E-2</v>
      </c>
      <c r="E67">
        <v>1</v>
      </c>
      <c r="F67" t="s">
        <v>4068</v>
      </c>
      <c r="G67" t="s">
        <v>4069</v>
      </c>
      <c r="H67" t="s">
        <v>4068</v>
      </c>
      <c r="I67" t="str">
        <f>HYPERLINK("https://zfin.org/ZDB-GENE-050306-29")</f>
        <v>https://zfin.org/ZDB-GENE-050306-29</v>
      </c>
      <c r="J67" t="s">
        <v>4067</v>
      </c>
    </row>
    <row r="68" spans="1:10" x14ac:dyDescent="0.2">
      <c r="A68">
        <v>7.0177265227773706E-5</v>
      </c>
      <c r="B68">
        <v>0.42073739877390098</v>
      </c>
      <c r="C68">
        <v>0.45800000000000002</v>
      </c>
      <c r="D68">
        <v>0.18099999999999999</v>
      </c>
      <c r="E68">
        <v>1</v>
      </c>
      <c r="F68" t="s">
        <v>4065</v>
      </c>
      <c r="G68" t="s">
        <v>4066</v>
      </c>
      <c r="H68" t="s">
        <v>4065</v>
      </c>
      <c r="I68" t="str">
        <f>HYPERLINK("https://zfin.org/ZDB-GENE-030131-4437")</f>
        <v>https://zfin.org/ZDB-GENE-030131-4437</v>
      </c>
      <c r="J68" t="s">
        <v>4064</v>
      </c>
    </row>
    <row r="69" spans="1:10" x14ac:dyDescent="0.2">
      <c r="A69">
        <v>7.0717316166420702E-5</v>
      </c>
      <c r="B69">
        <v>0.432663026848296</v>
      </c>
      <c r="C69">
        <v>0.23699999999999999</v>
      </c>
      <c r="D69">
        <v>5.7000000000000002E-2</v>
      </c>
      <c r="E69">
        <v>1</v>
      </c>
      <c r="F69" t="s">
        <v>4062</v>
      </c>
      <c r="G69" t="s">
        <v>4063</v>
      </c>
      <c r="H69" t="s">
        <v>4062</v>
      </c>
      <c r="I69" t="str">
        <f>HYPERLINK("https://zfin.org/ZDB-GENE-060929-1206")</f>
        <v>https://zfin.org/ZDB-GENE-060929-1206</v>
      </c>
      <c r="J69" t="s">
        <v>4061</v>
      </c>
    </row>
    <row r="70" spans="1:10" x14ac:dyDescent="0.2">
      <c r="A70">
        <v>7.2948797697363601E-5</v>
      </c>
      <c r="B70">
        <v>0.34770300335294102</v>
      </c>
      <c r="C70">
        <v>0.13600000000000001</v>
      </c>
      <c r="D70">
        <v>1.6E-2</v>
      </c>
      <c r="E70">
        <v>1</v>
      </c>
      <c r="F70" t="s">
        <v>4059</v>
      </c>
      <c r="G70" t="s">
        <v>4060</v>
      </c>
      <c r="H70" t="s">
        <v>4059</v>
      </c>
      <c r="I70" t="str">
        <f>HYPERLINK("https://zfin.org/ZDB-GENE-060620-1")</f>
        <v>https://zfin.org/ZDB-GENE-060620-1</v>
      </c>
      <c r="J70" t="s">
        <v>4058</v>
      </c>
    </row>
    <row r="71" spans="1:10" x14ac:dyDescent="0.2">
      <c r="A71">
        <v>7.7864875959060805E-5</v>
      </c>
      <c r="B71">
        <v>0.33444201920167499</v>
      </c>
      <c r="C71">
        <v>0.153</v>
      </c>
      <c r="D71">
        <v>2.1000000000000001E-2</v>
      </c>
      <c r="E71">
        <v>1</v>
      </c>
      <c r="F71" t="s">
        <v>4056</v>
      </c>
      <c r="G71" t="s">
        <v>4057</v>
      </c>
      <c r="H71" t="s">
        <v>4056</v>
      </c>
      <c r="I71" t="str">
        <f>HYPERLINK("https://zfin.org/ZDB-GENE-030131-7880")</f>
        <v>https://zfin.org/ZDB-GENE-030131-7880</v>
      </c>
      <c r="J71" t="s">
        <v>4055</v>
      </c>
    </row>
    <row r="72" spans="1:10" x14ac:dyDescent="0.2">
      <c r="A72">
        <v>7.8299303927524305E-5</v>
      </c>
      <c r="B72">
        <v>0.39716625593015398</v>
      </c>
      <c r="C72">
        <v>0.32200000000000001</v>
      </c>
      <c r="D72">
        <v>0.104</v>
      </c>
      <c r="E72">
        <v>1</v>
      </c>
      <c r="F72" t="s">
        <v>4053</v>
      </c>
      <c r="G72" t="s">
        <v>4054</v>
      </c>
      <c r="H72" t="s">
        <v>4053</v>
      </c>
      <c r="I72" t="str">
        <f>HYPERLINK("https://zfin.org/ZDB-GENE-070615-13")</f>
        <v>https://zfin.org/ZDB-GENE-070615-13</v>
      </c>
      <c r="J72" t="s">
        <v>4052</v>
      </c>
    </row>
    <row r="73" spans="1:10" x14ac:dyDescent="0.2">
      <c r="A73">
        <v>8.0462167019296196E-5</v>
      </c>
      <c r="B73">
        <v>0.49033377394972599</v>
      </c>
      <c r="C73">
        <v>0.52500000000000002</v>
      </c>
      <c r="D73">
        <v>0.249</v>
      </c>
      <c r="E73">
        <v>1</v>
      </c>
      <c r="F73" t="s">
        <v>1752</v>
      </c>
      <c r="G73" t="s">
        <v>1753</v>
      </c>
      <c r="H73" t="s">
        <v>1752</v>
      </c>
      <c r="I73" t="str">
        <f>HYPERLINK("https://zfin.org/ZDB-GENE-030219-51")</f>
        <v>https://zfin.org/ZDB-GENE-030219-51</v>
      </c>
      <c r="J73" t="s">
        <v>1751</v>
      </c>
    </row>
    <row r="74" spans="1:10" x14ac:dyDescent="0.2">
      <c r="A74">
        <v>8.2284766314548696E-5</v>
      </c>
      <c r="B74">
        <v>0.518582550770605</v>
      </c>
      <c r="C74">
        <v>0.71199999999999997</v>
      </c>
      <c r="D74">
        <v>0.42499999999999999</v>
      </c>
      <c r="E74">
        <v>1</v>
      </c>
      <c r="F74" t="s">
        <v>3724</v>
      </c>
      <c r="G74" t="s">
        <v>3725</v>
      </c>
      <c r="H74" t="s">
        <v>3724</v>
      </c>
      <c r="I74" t="str">
        <f>HYPERLINK("https://zfin.org/ZDB-GENE-050522-151")</f>
        <v>https://zfin.org/ZDB-GENE-050522-151</v>
      </c>
      <c r="J74" t="s">
        <v>3723</v>
      </c>
    </row>
    <row r="75" spans="1:10" x14ac:dyDescent="0.2">
      <c r="A75">
        <v>8.2878739581131893E-5</v>
      </c>
      <c r="B75">
        <v>0.29688375097344999</v>
      </c>
      <c r="C75">
        <v>0.10199999999999999</v>
      </c>
      <c r="D75">
        <v>5.0000000000000001E-3</v>
      </c>
      <c r="E75">
        <v>1</v>
      </c>
      <c r="F75" t="s">
        <v>4050</v>
      </c>
      <c r="G75" t="s">
        <v>4051</v>
      </c>
      <c r="H75" t="s">
        <v>4050</v>
      </c>
      <c r="I75" t="str">
        <f>HYPERLINK("https://zfin.org/ZDB-GENE-050517-30")</f>
        <v>https://zfin.org/ZDB-GENE-050517-30</v>
      </c>
      <c r="J75" t="s">
        <v>4049</v>
      </c>
    </row>
    <row r="76" spans="1:10" x14ac:dyDescent="0.2">
      <c r="A76">
        <v>8.6333904384072393E-5</v>
      </c>
      <c r="B76">
        <v>0.350600324251853</v>
      </c>
      <c r="C76">
        <v>0.13600000000000001</v>
      </c>
      <c r="D76">
        <v>1.6E-2</v>
      </c>
      <c r="E76">
        <v>1</v>
      </c>
      <c r="F76" t="s">
        <v>2081</v>
      </c>
      <c r="G76" t="s">
        <v>2082</v>
      </c>
      <c r="H76" t="s">
        <v>2081</v>
      </c>
      <c r="I76" t="str">
        <f>HYPERLINK("https://zfin.org/ZDB-GENE-050419-19")</f>
        <v>https://zfin.org/ZDB-GENE-050419-19</v>
      </c>
      <c r="J76" t="s">
        <v>2080</v>
      </c>
    </row>
    <row r="77" spans="1:10" x14ac:dyDescent="0.2">
      <c r="A77">
        <v>8.7969853883153906E-5</v>
      </c>
      <c r="B77">
        <v>0.40732482127995101</v>
      </c>
      <c r="C77">
        <v>0.10199999999999999</v>
      </c>
      <c r="D77">
        <v>5.0000000000000001E-3</v>
      </c>
      <c r="E77">
        <v>1</v>
      </c>
      <c r="F77" t="s">
        <v>4047</v>
      </c>
      <c r="G77" t="s">
        <v>4048</v>
      </c>
      <c r="H77" t="s">
        <v>4047</v>
      </c>
      <c r="I77" t="str">
        <f>HYPERLINK("https://zfin.org/ZDB-GENE-061013-682")</f>
        <v>https://zfin.org/ZDB-GENE-061013-682</v>
      </c>
      <c r="J77" t="s">
        <v>4046</v>
      </c>
    </row>
    <row r="78" spans="1:10" x14ac:dyDescent="0.2">
      <c r="A78">
        <v>8.7969853883153906E-5</v>
      </c>
      <c r="B78">
        <v>0.309201821595459</v>
      </c>
      <c r="C78">
        <v>0.10199999999999999</v>
      </c>
      <c r="D78">
        <v>5.0000000000000001E-3</v>
      </c>
      <c r="E78">
        <v>1</v>
      </c>
      <c r="F78" t="s">
        <v>4044</v>
      </c>
      <c r="G78" t="s">
        <v>4045</v>
      </c>
      <c r="H78" t="s">
        <v>4044</v>
      </c>
      <c r="I78" t="str">
        <f>HYPERLINK("https://zfin.org/ZDB-GENE-110411-228")</f>
        <v>https://zfin.org/ZDB-GENE-110411-228</v>
      </c>
      <c r="J78" t="s">
        <v>4043</v>
      </c>
    </row>
    <row r="79" spans="1:10" x14ac:dyDescent="0.2">
      <c r="A79">
        <v>8.7969853883153906E-5</v>
      </c>
      <c r="B79">
        <v>0.25100247755413502</v>
      </c>
      <c r="C79">
        <v>0.10199999999999999</v>
      </c>
      <c r="D79">
        <v>5.0000000000000001E-3</v>
      </c>
      <c r="E79">
        <v>1</v>
      </c>
      <c r="F79" t="s">
        <v>4041</v>
      </c>
      <c r="G79" t="s">
        <v>4042</v>
      </c>
      <c r="H79" t="s">
        <v>4041</v>
      </c>
      <c r="I79" t="str">
        <f>HYPERLINK("https://zfin.org/ZDB-GENE-091204-412")</f>
        <v>https://zfin.org/ZDB-GENE-091204-412</v>
      </c>
      <c r="J79" t="s">
        <v>4040</v>
      </c>
    </row>
    <row r="80" spans="1:10" x14ac:dyDescent="0.2">
      <c r="A80">
        <v>9.3742627578941598E-5</v>
      </c>
      <c r="B80">
        <v>0.34893215254471099</v>
      </c>
      <c r="C80">
        <v>0.33900000000000002</v>
      </c>
      <c r="D80">
        <v>0.109</v>
      </c>
      <c r="E80">
        <v>1</v>
      </c>
      <c r="F80" t="s">
        <v>4038</v>
      </c>
      <c r="G80" t="s">
        <v>4039</v>
      </c>
      <c r="H80" t="s">
        <v>4038</v>
      </c>
      <c r="I80" t="str">
        <f>HYPERLINK("https://zfin.org/ZDB-GENE-050417-187")</f>
        <v>https://zfin.org/ZDB-GENE-050417-187</v>
      </c>
      <c r="J80" t="s">
        <v>4037</v>
      </c>
    </row>
    <row r="81" spans="1:10" x14ac:dyDescent="0.2">
      <c r="A81">
        <v>1.0108227657264701E-4</v>
      </c>
      <c r="B81">
        <v>0.40644204487888902</v>
      </c>
      <c r="C81">
        <v>0.33900000000000002</v>
      </c>
      <c r="D81">
        <v>0.114</v>
      </c>
      <c r="E81">
        <v>1</v>
      </c>
      <c r="F81" t="s">
        <v>3308</v>
      </c>
      <c r="G81" t="s">
        <v>3309</v>
      </c>
      <c r="H81" t="s">
        <v>3308</v>
      </c>
      <c r="I81" t="str">
        <f>HYPERLINK("https://zfin.org/ZDB-GENE-030131-2711")</f>
        <v>https://zfin.org/ZDB-GENE-030131-2711</v>
      </c>
      <c r="J81" t="s">
        <v>3307</v>
      </c>
    </row>
    <row r="82" spans="1:10" x14ac:dyDescent="0.2">
      <c r="A82">
        <v>1.3767532142033899E-4</v>
      </c>
      <c r="B82">
        <v>0.31719824186451401</v>
      </c>
      <c r="C82">
        <v>0.186</v>
      </c>
      <c r="D82">
        <v>3.5999999999999997E-2</v>
      </c>
      <c r="E82">
        <v>1</v>
      </c>
      <c r="F82" t="s">
        <v>4035</v>
      </c>
      <c r="G82" t="s">
        <v>4036</v>
      </c>
      <c r="H82" t="s">
        <v>4035</v>
      </c>
      <c r="I82" t="str">
        <f>HYPERLINK("https://zfin.org/ZDB-GENE-030131-2146")</f>
        <v>https://zfin.org/ZDB-GENE-030131-2146</v>
      </c>
      <c r="J82" t="s">
        <v>4034</v>
      </c>
    </row>
    <row r="83" spans="1:10" x14ac:dyDescent="0.2">
      <c r="A83">
        <v>1.38304822292099E-4</v>
      </c>
      <c r="B83">
        <v>0.53500829748350798</v>
      </c>
      <c r="C83">
        <v>0.57599999999999996</v>
      </c>
      <c r="D83">
        <v>0.25900000000000001</v>
      </c>
      <c r="E83">
        <v>1</v>
      </c>
      <c r="F83" t="s">
        <v>1821</v>
      </c>
      <c r="G83" t="s">
        <v>1822</v>
      </c>
      <c r="H83" t="s">
        <v>1821</v>
      </c>
      <c r="I83" t="str">
        <f>HYPERLINK("https://zfin.org/ZDB-GENE-120215-41")</f>
        <v>https://zfin.org/ZDB-GENE-120215-41</v>
      </c>
      <c r="J83" t="s">
        <v>1820</v>
      </c>
    </row>
    <row r="84" spans="1:10" x14ac:dyDescent="0.2">
      <c r="A84">
        <v>1.48841219470014E-4</v>
      </c>
      <c r="B84">
        <v>0.37788488035927098</v>
      </c>
      <c r="C84">
        <v>0.16900000000000001</v>
      </c>
      <c r="D84">
        <v>3.1E-2</v>
      </c>
      <c r="E84">
        <v>1</v>
      </c>
      <c r="F84" t="s">
        <v>4032</v>
      </c>
      <c r="G84" t="s">
        <v>4033</v>
      </c>
      <c r="H84" t="s">
        <v>4032</v>
      </c>
      <c r="I84" t="str">
        <f>HYPERLINK("https://zfin.org/ZDB-GENE-040801-145")</f>
        <v>https://zfin.org/ZDB-GENE-040801-145</v>
      </c>
      <c r="J84" t="s">
        <v>4031</v>
      </c>
    </row>
    <row r="85" spans="1:10" x14ac:dyDescent="0.2">
      <c r="A85">
        <v>1.4997091350568901E-4</v>
      </c>
      <c r="B85">
        <v>0.38125917878179399</v>
      </c>
      <c r="C85">
        <v>0.22</v>
      </c>
      <c r="D85">
        <v>5.1999999999999998E-2</v>
      </c>
      <c r="E85">
        <v>1</v>
      </c>
      <c r="F85" t="s">
        <v>4029</v>
      </c>
      <c r="G85" t="s">
        <v>4030</v>
      </c>
      <c r="H85" t="s">
        <v>4029</v>
      </c>
      <c r="I85" t="str">
        <f>HYPERLINK("https://zfin.org/ZDB-GENE-040426-1260")</f>
        <v>https://zfin.org/ZDB-GENE-040426-1260</v>
      </c>
      <c r="J85" t="s">
        <v>4028</v>
      </c>
    </row>
    <row r="86" spans="1:10" x14ac:dyDescent="0.2">
      <c r="A86">
        <v>1.5754680032500001E-4</v>
      </c>
      <c r="B86">
        <v>0.27086350424021699</v>
      </c>
      <c r="C86">
        <v>0.22</v>
      </c>
      <c r="D86">
        <v>5.1999999999999998E-2</v>
      </c>
      <c r="E86">
        <v>1</v>
      </c>
      <c r="F86" t="s">
        <v>4026</v>
      </c>
      <c r="G86" t="s">
        <v>4027</v>
      </c>
      <c r="H86" t="s">
        <v>4026</v>
      </c>
      <c r="I86" t="str">
        <f>HYPERLINK("https://zfin.org/ZDB-GENE-021206-1")</f>
        <v>https://zfin.org/ZDB-GENE-021206-1</v>
      </c>
      <c r="J86" t="s">
        <v>4025</v>
      </c>
    </row>
    <row r="87" spans="1:10" x14ac:dyDescent="0.2">
      <c r="A87">
        <v>1.59660663380463E-4</v>
      </c>
      <c r="B87">
        <v>0.35639354761226699</v>
      </c>
      <c r="C87">
        <v>0.40699999999999997</v>
      </c>
      <c r="D87">
        <v>0.155</v>
      </c>
      <c r="E87">
        <v>1</v>
      </c>
      <c r="F87" t="s">
        <v>4023</v>
      </c>
      <c r="G87" t="s">
        <v>4024</v>
      </c>
      <c r="H87" t="s">
        <v>4023</v>
      </c>
      <c r="I87" t="str">
        <f>HYPERLINK("https://zfin.org/ZDB-GENE-030912-11")</f>
        <v>https://zfin.org/ZDB-GENE-030912-11</v>
      </c>
      <c r="J87" t="s">
        <v>4022</v>
      </c>
    </row>
    <row r="88" spans="1:10" x14ac:dyDescent="0.2">
      <c r="A88">
        <v>1.6400070103844599E-4</v>
      </c>
      <c r="B88">
        <v>0.3825164151771</v>
      </c>
      <c r="C88">
        <v>0.16900000000000001</v>
      </c>
      <c r="D88">
        <v>3.1E-2</v>
      </c>
      <c r="E88">
        <v>1</v>
      </c>
      <c r="F88" t="s">
        <v>4020</v>
      </c>
      <c r="G88" t="s">
        <v>4021</v>
      </c>
      <c r="H88" t="s">
        <v>4020</v>
      </c>
      <c r="I88" t="str">
        <f>HYPERLINK("https://zfin.org/ZDB-GENE-080204-34")</f>
        <v>https://zfin.org/ZDB-GENE-080204-34</v>
      </c>
      <c r="J88" t="s">
        <v>4019</v>
      </c>
    </row>
    <row r="89" spans="1:10" x14ac:dyDescent="0.2">
      <c r="A89">
        <v>1.64374870617275E-4</v>
      </c>
      <c r="B89">
        <v>0.35564965397199499</v>
      </c>
      <c r="C89">
        <v>0.20300000000000001</v>
      </c>
      <c r="D89">
        <v>4.7E-2</v>
      </c>
      <c r="E89">
        <v>1</v>
      </c>
      <c r="F89" t="s">
        <v>4017</v>
      </c>
      <c r="G89" t="s">
        <v>4018</v>
      </c>
      <c r="H89" t="s">
        <v>4017</v>
      </c>
      <c r="I89" t="str">
        <f>HYPERLINK("https://zfin.org/ZDB-GENE-051030-30")</f>
        <v>https://zfin.org/ZDB-GENE-051030-30</v>
      </c>
      <c r="J89" t="s">
        <v>4016</v>
      </c>
    </row>
    <row r="90" spans="1:10" x14ac:dyDescent="0.2">
      <c r="A90">
        <v>1.79547931310718E-4</v>
      </c>
      <c r="B90">
        <v>0.29921566363172503</v>
      </c>
      <c r="C90">
        <v>0.22</v>
      </c>
      <c r="D90">
        <v>5.1999999999999998E-2</v>
      </c>
      <c r="E90">
        <v>1</v>
      </c>
      <c r="F90" t="s">
        <v>4014</v>
      </c>
      <c r="G90" t="s">
        <v>4015</v>
      </c>
      <c r="H90" t="s">
        <v>4014</v>
      </c>
      <c r="I90" t="str">
        <f>HYPERLINK("https://zfin.org/ZDB-GENE-030131-9003")</f>
        <v>https://zfin.org/ZDB-GENE-030131-9003</v>
      </c>
      <c r="J90" t="s">
        <v>4013</v>
      </c>
    </row>
    <row r="91" spans="1:10" x14ac:dyDescent="0.2">
      <c r="A91">
        <v>2.0024346802270399E-4</v>
      </c>
      <c r="B91">
        <v>0.44808775670229201</v>
      </c>
      <c r="C91">
        <v>0.32200000000000001</v>
      </c>
      <c r="D91">
        <v>0.109</v>
      </c>
      <c r="E91">
        <v>1</v>
      </c>
      <c r="F91" t="s">
        <v>3960</v>
      </c>
      <c r="G91" t="s">
        <v>3961</v>
      </c>
      <c r="H91" t="s">
        <v>3960</v>
      </c>
      <c r="I91" t="str">
        <f>HYPERLINK("https://zfin.org/ZDB-GENE-040801-65")</f>
        <v>https://zfin.org/ZDB-GENE-040801-65</v>
      </c>
      <c r="J91" t="s">
        <v>3959</v>
      </c>
    </row>
    <row r="92" spans="1:10" x14ac:dyDescent="0.2">
      <c r="A92">
        <v>2.1849946543251101E-4</v>
      </c>
      <c r="B92">
        <v>0.329885458681971</v>
      </c>
      <c r="C92">
        <v>0.153</v>
      </c>
      <c r="D92">
        <v>2.5999999999999999E-2</v>
      </c>
      <c r="E92">
        <v>1</v>
      </c>
      <c r="F92" t="s">
        <v>4011</v>
      </c>
      <c r="G92" t="s">
        <v>4012</v>
      </c>
      <c r="H92" t="s">
        <v>4011</v>
      </c>
      <c r="I92" t="str">
        <f>HYPERLINK("https://zfin.org/ZDB-GENE-050522-182")</f>
        <v>https://zfin.org/ZDB-GENE-050522-182</v>
      </c>
      <c r="J92" t="s">
        <v>4010</v>
      </c>
    </row>
    <row r="93" spans="1:10" x14ac:dyDescent="0.2">
      <c r="A93">
        <v>2.36627977376062E-4</v>
      </c>
      <c r="B93">
        <v>0.32276971642517899</v>
      </c>
      <c r="C93">
        <v>0.28799999999999998</v>
      </c>
      <c r="D93">
        <v>9.2999999999999999E-2</v>
      </c>
      <c r="E93">
        <v>1</v>
      </c>
      <c r="F93" t="s">
        <v>4008</v>
      </c>
      <c r="G93" t="s">
        <v>4009</v>
      </c>
      <c r="H93" t="s">
        <v>4008</v>
      </c>
      <c r="I93" t="str">
        <f>HYPERLINK("https://zfin.org/ZDB-GENE-040426-771")</f>
        <v>https://zfin.org/ZDB-GENE-040426-771</v>
      </c>
      <c r="J93" t="s">
        <v>4007</v>
      </c>
    </row>
    <row r="94" spans="1:10" x14ac:dyDescent="0.2">
      <c r="A94">
        <v>2.3702527942448499E-4</v>
      </c>
      <c r="B94">
        <v>0.36884292809306002</v>
      </c>
      <c r="C94">
        <v>0.254</v>
      </c>
      <c r="D94">
        <v>7.2999999999999995E-2</v>
      </c>
      <c r="E94">
        <v>1</v>
      </c>
      <c r="F94" t="s">
        <v>4005</v>
      </c>
      <c r="G94" t="s">
        <v>4006</v>
      </c>
      <c r="H94" t="s">
        <v>4005</v>
      </c>
      <c r="I94" t="str">
        <f>HYPERLINK("https://zfin.org/ZDB-GENE-090313-76")</f>
        <v>https://zfin.org/ZDB-GENE-090313-76</v>
      </c>
      <c r="J94" t="s">
        <v>4004</v>
      </c>
    </row>
    <row r="95" spans="1:10" x14ac:dyDescent="0.2">
      <c r="A95">
        <v>2.5805986585928899E-4</v>
      </c>
      <c r="B95">
        <v>0.38241592049319201</v>
      </c>
      <c r="C95">
        <v>0.33900000000000002</v>
      </c>
      <c r="D95">
        <v>0.124</v>
      </c>
      <c r="E95">
        <v>1</v>
      </c>
      <c r="F95" t="s">
        <v>4002</v>
      </c>
      <c r="G95" t="s">
        <v>4003</v>
      </c>
      <c r="H95" t="s">
        <v>4002</v>
      </c>
      <c r="I95" t="str">
        <f>HYPERLINK("https://zfin.org/ZDB-GENE-060825-144")</f>
        <v>https://zfin.org/ZDB-GENE-060825-144</v>
      </c>
      <c r="J95" t="s">
        <v>4001</v>
      </c>
    </row>
    <row r="96" spans="1:10" x14ac:dyDescent="0.2">
      <c r="A96">
        <v>2.61897509105723E-4</v>
      </c>
      <c r="B96">
        <v>0.26591729372755502</v>
      </c>
      <c r="C96">
        <v>0.153</v>
      </c>
      <c r="D96">
        <v>2.5999999999999999E-2</v>
      </c>
      <c r="E96">
        <v>1</v>
      </c>
      <c r="F96" t="s">
        <v>3999</v>
      </c>
      <c r="G96" t="s">
        <v>4000</v>
      </c>
      <c r="H96" t="s">
        <v>3999</v>
      </c>
      <c r="I96" t="str">
        <f>HYPERLINK("https://zfin.org/ZDB-GENE-030131-2411")</f>
        <v>https://zfin.org/ZDB-GENE-030131-2411</v>
      </c>
      <c r="J96" t="s">
        <v>3998</v>
      </c>
    </row>
    <row r="97" spans="1:10" x14ac:dyDescent="0.2">
      <c r="A97">
        <v>2.7584715491346001E-4</v>
      </c>
      <c r="B97">
        <v>0.29348542613826001</v>
      </c>
      <c r="C97">
        <v>0.52500000000000002</v>
      </c>
      <c r="D97">
        <v>0.23300000000000001</v>
      </c>
      <c r="E97">
        <v>1</v>
      </c>
      <c r="F97" t="s">
        <v>1644</v>
      </c>
      <c r="G97" t="s">
        <v>1645</v>
      </c>
      <c r="H97" t="s">
        <v>1644</v>
      </c>
      <c r="I97" t="str">
        <f>HYPERLINK("https://zfin.org/ZDB-GENE-040718-197")</f>
        <v>https://zfin.org/ZDB-GENE-040718-197</v>
      </c>
      <c r="J97" t="s">
        <v>1643</v>
      </c>
    </row>
    <row r="98" spans="1:10" x14ac:dyDescent="0.2">
      <c r="A98">
        <v>2.8229446276341802E-4</v>
      </c>
      <c r="B98">
        <v>0.38406714577914203</v>
      </c>
      <c r="C98">
        <v>0.13600000000000001</v>
      </c>
      <c r="D98">
        <v>2.1000000000000001E-2</v>
      </c>
      <c r="E98">
        <v>1</v>
      </c>
      <c r="F98" t="s">
        <v>3996</v>
      </c>
      <c r="G98" t="s">
        <v>3997</v>
      </c>
      <c r="H98" t="s">
        <v>3996</v>
      </c>
      <c r="I98" t="str">
        <f>HYPERLINK("https://zfin.org/ZDB-GENE-040426-1543")</f>
        <v>https://zfin.org/ZDB-GENE-040426-1543</v>
      </c>
      <c r="J98" t="s">
        <v>3995</v>
      </c>
    </row>
    <row r="99" spans="1:10" x14ac:dyDescent="0.2">
      <c r="A99">
        <v>2.9083624131899901E-4</v>
      </c>
      <c r="B99">
        <v>0.39888899713213999</v>
      </c>
      <c r="C99">
        <v>0.627</v>
      </c>
      <c r="D99">
        <v>0.32600000000000001</v>
      </c>
      <c r="E99">
        <v>1</v>
      </c>
      <c r="F99" t="s">
        <v>3359</v>
      </c>
      <c r="G99" t="s">
        <v>3360</v>
      </c>
      <c r="H99" t="s">
        <v>3359</v>
      </c>
      <c r="I99" t="str">
        <f>HYPERLINK("https://zfin.org/ZDB-GENE-030912-14")</f>
        <v>https://zfin.org/ZDB-GENE-030912-14</v>
      </c>
      <c r="J99" t="s">
        <v>3358</v>
      </c>
    </row>
    <row r="100" spans="1:10" x14ac:dyDescent="0.2">
      <c r="A100">
        <v>3.0996508436723601E-4</v>
      </c>
      <c r="B100">
        <v>0.44025315048231201</v>
      </c>
      <c r="C100">
        <v>0.50800000000000001</v>
      </c>
      <c r="D100">
        <v>0.23799999999999999</v>
      </c>
      <c r="E100">
        <v>1</v>
      </c>
      <c r="F100" t="s">
        <v>3371</v>
      </c>
      <c r="G100" t="s">
        <v>3372</v>
      </c>
      <c r="H100" t="s">
        <v>3371</v>
      </c>
      <c r="I100" t="str">
        <f>HYPERLINK("https://zfin.org/ZDB-GENE-030131-719")</f>
        <v>https://zfin.org/ZDB-GENE-030131-719</v>
      </c>
      <c r="J100" t="s">
        <v>3370</v>
      </c>
    </row>
    <row r="101" spans="1:10" x14ac:dyDescent="0.2">
      <c r="A101">
        <v>3.1411348304805802E-4</v>
      </c>
      <c r="B101">
        <v>0.41062904128162803</v>
      </c>
      <c r="C101">
        <v>0.13600000000000001</v>
      </c>
      <c r="D101">
        <v>2.1000000000000001E-2</v>
      </c>
      <c r="E101">
        <v>1</v>
      </c>
      <c r="F101" t="s">
        <v>1158</v>
      </c>
      <c r="G101" t="s">
        <v>1159</v>
      </c>
      <c r="H101" t="s">
        <v>1158</v>
      </c>
      <c r="I101" t="str">
        <f>HYPERLINK("https://zfin.org/ZDB-GENE-050601-2")</f>
        <v>https://zfin.org/ZDB-GENE-050601-2</v>
      </c>
      <c r="J101" t="s">
        <v>1157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6242D-7E30-444C-B8E8-3B38ABB6BDDB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64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1.74527412230685E-5</v>
      </c>
      <c r="B2">
        <v>-0.34915383072325401</v>
      </c>
      <c r="C2">
        <v>0.94899999999999995</v>
      </c>
      <c r="D2">
        <v>0.96899999999999997</v>
      </c>
      <c r="E2">
        <v>0.27022079235676999</v>
      </c>
      <c r="F2" t="s">
        <v>730</v>
      </c>
      <c r="G2" t="s">
        <v>731</v>
      </c>
      <c r="H2" t="s">
        <v>730</v>
      </c>
      <c r="I2" t="str">
        <f>HYPERLINK("https://zfin.org/ZDB-GENE-040718-72")</f>
        <v>https://zfin.org/ZDB-GENE-040718-72</v>
      </c>
      <c r="J2" t="s">
        <v>729</v>
      </c>
    </row>
    <row r="3" spans="1:10" x14ac:dyDescent="0.2">
      <c r="A3">
        <v>2.8306682314144901E-5</v>
      </c>
      <c r="B3">
        <v>-1.22317234358247</v>
      </c>
      <c r="C3">
        <v>0.373</v>
      </c>
      <c r="D3">
        <v>0.56499999999999995</v>
      </c>
      <c r="E3">
        <v>0.43827236226990601</v>
      </c>
      <c r="F3" t="s">
        <v>4355</v>
      </c>
      <c r="G3" t="s">
        <v>4356</v>
      </c>
      <c r="H3" t="s">
        <v>4355</v>
      </c>
      <c r="I3" t="str">
        <f>HYPERLINK("https://zfin.org/ZDB-GENE-030131-1228")</f>
        <v>https://zfin.org/ZDB-GENE-030131-1228</v>
      </c>
      <c r="J3" t="s">
        <v>4354</v>
      </c>
    </row>
    <row r="4" spans="1:10" x14ac:dyDescent="0.2">
      <c r="A4">
        <v>1.96220852936097E-3</v>
      </c>
      <c r="B4">
        <v>-0.46108811104595598</v>
      </c>
      <c r="C4">
        <v>0.81399999999999995</v>
      </c>
      <c r="D4">
        <v>0.89600000000000002</v>
      </c>
      <c r="E4">
        <v>1</v>
      </c>
      <c r="F4" t="s">
        <v>4352</v>
      </c>
      <c r="G4" t="s">
        <v>4353</v>
      </c>
      <c r="H4" t="s">
        <v>4352</v>
      </c>
      <c r="I4" t="str">
        <f>HYPERLINK("https://zfin.org/ZDB-GENE-000329-3")</f>
        <v>https://zfin.org/ZDB-GENE-000329-3</v>
      </c>
      <c r="J4" t="s">
        <v>4351</v>
      </c>
    </row>
    <row r="5" spans="1:10" x14ac:dyDescent="0.2">
      <c r="A5">
        <v>2.5158161174631401E-3</v>
      </c>
      <c r="B5">
        <v>-0.464232060901279</v>
      </c>
      <c r="C5">
        <v>0.93200000000000005</v>
      </c>
      <c r="D5">
        <v>0.91200000000000003</v>
      </c>
      <c r="E5">
        <v>1</v>
      </c>
      <c r="F5" t="s">
        <v>76</v>
      </c>
      <c r="G5" t="s">
        <v>77</v>
      </c>
      <c r="H5" t="s">
        <v>76</v>
      </c>
      <c r="I5" t="str">
        <f>HYPERLINK("https://zfin.org/ZDB-GENE-031001-11")</f>
        <v>https://zfin.org/ZDB-GENE-031001-11</v>
      </c>
      <c r="J5" t="s">
        <v>78</v>
      </c>
    </row>
    <row r="6" spans="1:10" x14ac:dyDescent="0.2">
      <c r="A6">
        <v>3.53421554991297E-3</v>
      </c>
      <c r="B6">
        <v>-0.41758529648147402</v>
      </c>
      <c r="C6">
        <v>0.83099999999999996</v>
      </c>
      <c r="D6">
        <v>0.876</v>
      </c>
      <c r="E6">
        <v>1</v>
      </c>
      <c r="F6" t="s">
        <v>64</v>
      </c>
      <c r="G6" t="s">
        <v>65</v>
      </c>
      <c r="H6" t="s">
        <v>64</v>
      </c>
      <c r="I6" t="str">
        <f>HYPERLINK("https://zfin.org/ZDB-GENE-030131-8304")</f>
        <v>https://zfin.org/ZDB-GENE-030131-8304</v>
      </c>
      <c r="J6" t="s">
        <v>66</v>
      </c>
    </row>
    <row r="7" spans="1:10" x14ac:dyDescent="0.2">
      <c r="A7">
        <v>3.78994987470646E-3</v>
      </c>
      <c r="B7">
        <v>-0.34342297653460502</v>
      </c>
      <c r="C7">
        <v>0.94899999999999995</v>
      </c>
      <c r="D7">
        <v>0.96399999999999997</v>
      </c>
      <c r="E7">
        <v>1</v>
      </c>
      <c r="F7" t="s">
        <v>52</v>
      </c>
      <c r="G7" t="s">
        <v>53</v>
      </c>
      <c r="H7" t="s">
        <v>52</v>
      </c>
      <c r="I7" t="str">
        <f>HYPERLINK("https://zfin.org/ZDB-GENE-040426-1508")</f>
        <v>https://zfin.org/ZDB-GENE-040426-1508</v>
      </c>
      <c r="J7" t="s">
        <v>54</v>
      </c>
    </row>
    <row r="8" spans="1:10" x14ac:dyDescent="0.2">
      <c r="A8">
        <v>5.0221061318075503E-3</v>
      </c>
      <c r="B8">
        <v>-0.45653476357439299</v>
      </c>
      <c r="C8">
        <v>0.64400000000000002</v>
      </c>
      <c r="D8">
        <v>0.751</v>
      </c>
      <c r="E8">
        <v>1</v>
      </c>
      <c r="F8" t="s">
        <v>1990</v>
      </c>
      <c r="G8" t="s">
        <v>4350</v>
      </c>
      <c r="H8" t="s">
        <v>1990</v>
      </c>
      <c r="I8" t="str">
        <f>HYPERLINK("https://zfin.org/ZDB-GENE-000511-4")</f>
        <v>https://zfin.org/ZDB-GENE-000511-4</v>
      </c>
      <c r="J8" t="s">
        <v>1989</v>
      </c>
    </row>
    <row r="9" spans="1:10" x14ac:dyDescent="0.2">
      <c r="A9">
        <v>5.6750223609593397E-3</v>
      </c>
      <c r="B9">
        <v>-0.41861857059393598</v>
      </c>
      <c r="C9">
        <v>0.67800000000000005</v>
      </c>
      <c r="D9">
        <v>0.71499999999999997</v>
      </c>
      <c r="E9">
        <v>1</v>
      </c>
      <c r="F9" t="s">
        <v>2009</v>
      </c>
      <c r="G9" t="s">
        <v>2010</v>
      </c>
      <c r="H9" t="s">
        <v>2009</v>
      </c>
      <c r="I9" t="str">
        <f>HYPERLINK("https://zfin.org/ZDB-GENE-030131-9134")</f>
        <v>https://zfin.org/ZDB-GENE-030131-9134</v>
      </c>
      <c r="J9" t="s">
        <v>2008</v>
      </c>
    </row>
    <row r="10" spans="1:10" x14ac:dyDescent="0.2">
      <c r="A10">
        <v>5.7397100830148401E-3</v>
      </c>
      <c r="B10">
        <v>-0.55560984840415595</v>
      </c>
      <c r="C10">
        <v>0.52500000000000002</v>
      </c>
      <c r="D10">
        <v>0.56000000000000005</v>
      </c>
      <c r="E10">
        <v>1</v>
      </c>
      <c r="F10" t="s">
        <v>234</v>
      </c>
      <c r="G10" t="s">
        <v>235</v>
      </c>
      <c r="H10" t="s">
        <v>234</v>
      </c>
      <c r="I10" t="str">
        <f>HYPERLINK("https://zfin.org/ZDB-GENE-040426-1362")</f>
        <v>https://zfin.org/ZDB-GENE-040426-1362</v>
      </c>
      <c r="J10" t="s">
        <v>236</v>
      </c>
    </row>
    <row r="11" spans="1:10" x14ac:dyDescent="0.2">
      <c r="A11">
        <v>6.7374025599303104E-3</v>
      </c>
      <c r="B11">
        <v>-0.47891163907789203</v>
      </c>
      <c r="C11">
        <v>0.28799999999999998</v>
      </c>
      <c r="D11">
        <v>0.48199999999999998</v>
      </c>
      <c r="E11">
        <v>1</v>
      </c>
      <c r="F11" t="s">
        <v>4348</v>
      </c>
      <c r="G11" t="s">
        <v>4349</v>
      </c>
      <c r="H11" t="s">
        <v>4348</v>
      </c>
      <c r="I11" t="str">
        <f>HYPERLINK("https://zfin.org/ZDB-GENE-991008-6")</f>
        <v>https://zfin.org/ZDB-GENE-991008-6</v>
      </c>
      <c r="J11" t="s">
        <v>4347</v>
      </c>
    </row>
    <row r="12" spans="1:10" x14ac:dyDescent="0.2">
      <c r="A12">
        <v>7.6044739290809203E-3</v>
      </c>
      <c r="B12">
        <v>-0.38331593047520401</v>
      </c>
      <c r="C12">
        <v>0.72899999999999998</v>
      </c>
      <c r="D12">
        <v>0.79800000000000004</v>
      </c>
      <c r="E12">
        <v>1</v>
      </c>
      <c r="F12" t="s">
        <v>4345</v>
      </c>
      <c r="G12" t="s">
        <v>4346</v>
      </c>
      <c r="H12" t="s">
        <v>4345</v>
      </c>
      <c r="I12" t="str">
        <f>HYPERLINK("https://zfin.org/ZDB-GENE-040718-260")</f>
        <v>https://zfin.org/ZDB-GENE-040718-260</v>
      </c>
      <c r="J12" t="s">
        <v>4344</v>
      </c>
    </row>
    <row r="13" spans="1:10" x14ac:dyDescent="0.2">
      <c r="A13">
        <v>7.7961420896471498E-3</v>
      </c>
      <c r="B13">
        <v>-0.32507283081849297</v>
      </c>
      <c r="C13">
        <v>0.86399999999999999</v>
      </c>
      <c r="D13">
        <v>0.88100000000000001</v>
      </c>
      <c r="E13">
        <v>1</v>
      </c>
      <c r="F13" t="s">
        <v>118</v>
      </c>
      <c r="G13" t="s">
        <v>119</v>
      </c>
      <c r="H13" t="s">
        <v>118</v>
      </c>
      <c r="I13" t="str">
        <f>HYPERLINK("https://zfin.org/ZDB-GENE-030410-1")</f>
        <v>https://zfin.org/ZDB-GENE-030410-1</v>
      </c>
      <c r="J13" t="s">
        <v>120</v>
      </c>
    </row>
    <row r="14" spans="1:10" x14ac:dyDescent="0.2">
      <c r="A14">
        <v>9.6266306905414701E-3</v>
      </c>
      <c r="B14">
        <v>-0.39479881038769599</v>
      </c>
      <c r="C14">
        <v>0.67800000000000005</v>
      </c>
      <c r="D14">
        <v>0.78200000000000003</v>
      </c>
      <c r="E14">
        <v>1</v>
      </c>
      <c r="F14" t="s">
        <v>1992</v>
      </c>
      <c r="G14" t="s">
        <v>1991</v>
      </c>
      <c r="H14" t="s">
        <v>1990</v>
      </c>
      <c r="I14" t="str">
        <f>HYPERLINK("https://zfin.org/ZDB-GENE-000511-4")</f>
        <v>https://zfin.org/ZDB-GENE-000511-4</v>
      </c>
      <c r="J14" t="s">
        <v>1989</v>
      </c>
    </row>
    <row r="15" spans="1:10" x14ac:dyDescent="0.2">
      <c r="A15">
        <v>1.00602052000471E-2</v>
      </c>
      <c r="B15">
        <v>-0.47726806368364899</v>
      </c>
      <c r="C15">
        <v>0.47499999999999998</v>
      </c>
      <c r="D15">
        <v>0.56000000000000005</v>
      </c>
      <c r="E15">
        <v>1</v>
      </c>
      <c r="F15" t="s">
        <v>930</v>
      </c>
      <c r="G15" t="s">
        <v>931</v>
      </c>
      <c r="H15" t="s">
        <v>930</v>
      </c>
      <c r="I15" t="str">
        <f>HYPERLINK("https://zfin.org/ZDB-GENE-040808-35")</f>
        <v>https://zfin.org/ZDB-GENE-040808-35</v>
      </c>
      <c r="J15" t="s">
        <v>929</v>
      </c>
    </row>
    <row r="16" spans="1:10" x14ac:dyDescent="0.2">
      <c r="A16">
        <v>1.2223894215730601E-2</v>
      </c>
      <c r="B16">
        <v>-0.48483690562274601</v>
      </c>
      <c r="C16">
        <v>0.23699999999999999</v>
      </c>
      <c r="D16">
        <v>0.373</v>
      </c>
      <c r="E16">
        <v>1</v>
      </c>
      <c r="F16" t="s">
        <v>4342</v>
      </c>
      <c r="G16" t="s">
        <v>4343</v>
      </c>
      <c r="H16" t="s">
        <v>4342</v>
      </c>
      <c r="I16" t="str">
        <f>HYPERLINK("https://zfin.org/ZDB-GENE-040426-2206")</f>
        <v>https://zfin.org/ZDB-GENE-040426-2206</v>
      </c>
      <c r="J16" t="s">
        <v>4341</v>
      </c>
    </row>
    <row r="17" spans="1:10" x14ac:dyDescent="0.2">
      <c r="A17">
        <v>1.2660731716638099E-2</v>
      </c>
      <c r="B17">
        <v>-0.42974121454034497</v>
      </c>
      <c r="C17">
        <v>0.57599999999999996</v>
      </c>
      <c r="D17">
        <v>0.64800000000000002</v>
      </c>
      <c r="E17">
        <v>1</v>
      </c>
      <c r="F17" t="s">
        <v>133</v>
      </c>
      <c r="G17" t="s">
        <v>134</v>
      </c>
      <c r="H17" t="s">
        <v>133</v>
      </c>
      <c r="I17" t="str">
        <f>HYPERLINK("https://zfin.org/")</f>
        <v>https://zfin.org/</v>
      </c>
    </row>
    <row r="18" spans="1:10" x14ac:dyDescent="0.2">
      <c r="A18">
        <v>1.4600857598521901E-2</v>
      </c>
      <c r="B18">
        <v>-0.31553828586660998</v>
      </c>
      <c r="C18">
        <v>0.89800000000000002</v>
      </c>
      <c r="D18">
        <v>0.90200000000000002</v>
      </c>
      <c r="E18">
        <v>1</v>
      </c>
      <c r="F18" t="s">
        <v>79</v>
      </c>
      <c r="G18" t="s">
        <v>80</v>
      </c>
      <c r="H18" t="s">
        <v>79</v>
      </c>
      <c r="I18" t="str">
        <f>HYPERLINK("https://zfin.org/ZDB-GENE-061111-1")</f>
        <v>https://zfin.org/ZDB-GENE-061111-1</v>
      </c>
      <c r="J18" t="s">
        <v>81</v>
      </c>
    </row>
    <row r="19" spans="1:10" x14ac:dyDescent="0.2">
      <c r="A19">
        <v>1.6055034627368299E-2</v>
      </c>
      <c r="B19">
        <v>-0.39608789737024902</v>
      </c>
      <c r="C19">
        <v>0.11899999999999999</v>
      </c>
      <c r="D19">
        <v>0.26900000000000002</v>
      </c>
      <c r="E19">
        <v>1</v>
      </c>
      <c r="F19" t="s">
        <v>4339</v>
      </c>
      <c r="G19" t="s">
        <v>4340</v>
      </c>
      <c r="H19" t="s">
        <v>4339</v>
      </c>
      <c r="I19" t="str">
        <f>HYPERLINK("https://zfin.org/ZDB-GENE-040625-136")</f>
        <v>https://zfin.org/ZDB-GENE-040625-136</v>
      </c>
      <c r="J19" t="s">
        <v>4338</v>
      </c>
    </row>
    <row r="20" spans="1:10" x14ac:dyDescent="0.2">
      <c r="A20">
        <v>1.74822068250759E-2</v>
      </c>
      <c r="B20">
        <v>-0.38844371680232198</v>
      </c>
      <c r="C20">
        <v>1.7000000000000001E-2</v>
      </c>
      <c r="D20">
        <v>0.11899999999999999</v>
      </c>
      <c r="E20">
        <v>1</v>
      </c>
      <c r="F20" t="s">
        <v>4336</v>
      </c>
      <c r="G20" t="s">
        <v>4337</v>
      </c>
      <c r="H20" t="s">
        <v>4336</v>
      </c>
      <c r="I20" t="str">
        <f>HYPERLINK("https://zfin.org/ZDB-GENE-081104-197")</f>
        <v>https://zfin.org/ZDB-GENE-081104-197</v>
      </c>
      <c r="J20" t="s">
        <v>4335</v>
      </c>
    </row>
    <row r="21" spans="1:10" x14ac:dyDescent="0.2">
      <c r="A21">
        <v>1.7865628671222E-2</v>
      </c>
      <c r="B21">
        <v>-0.419895781178863</v>
      </c>
      <c r="C21">
        <v>1.7000000000000001E-2</v>
      </c>
      <c r="D21">
        <v>0.11899999999999999</v>
      </c>
      <c r="E21">
        <v>1</v>
      </c>
      <c r="F21" t="s">
        <v>4333</v>
      </c>
      <c r="G21" t="s">
        <v>4334</v>
      </c>
      <c r="H21" t="s">
        <v>4333</v>
      </c>
      <c r="I21" t="str">
        <f>HYPERLINK("https://zfin.org/ZDB-GENE-060526-381")</f>
        <v>https://zfin.org/ZDB-GENE-060526-381</v>
      </c>
      <c r="J21" t="s">
        <v>4332</v>
      </c>
    </row>
    <row r="22" spans="1:10" x14ac:dyDescent="0.2">
      <c r="A22">
        <v>2.5112323522243501E-2</v>
      </c>
      <c r="B22">
        <v>-0.43361276367572599</v>
      </c>
      <c r="C22">
        <v>0.23699999999999999</v>
      </c>
      <c r="D22">
        <v>0.36799999999999999</v>
      </c>
      <c r="E22">
        <v>1</v>
      </c>
      <c r="F22" t="s">
        <v>4330</v>
      </c>
      <c r="G22" t="s">
        <v>4331</v>
      </c>
      <c r="H22" t="s">
        <v>4330</v>
      </c>
      <c r="I22" t="str">
        <f>HYPERLINK("https://zfin.org/ZDB-GENE-080709-1")</f>
        <v>https://zfin.org/ZDB-GENE-080709-1</v>
      </c>
      <c r="J22" t="s">
        <v>4329</v>
      </c>
    </row>
    <row r="23" spans="1:10" x14ac:dyDescent="0.2">
      <c r="A23">
        <v>2.8208353144749801E-2</v>
      </c>
      <c r="B23">
        <v>-0.441994620252257</v>
      </c>
      <c r="C23">
        <v>0.35599999999999998</v>
      </c>
      <c r="D23">
        <v>0.44</v>
      </c>
      <c r="E23">
        <v>1</v>
      </c>
      <c r="F23" t="s">
        <v>4327</v>
      </c>
      <c r="G23" t="s">
        <v>4328</v>
      </c>
      <c r="H23" t="s">
        <v>4327</v>
      </c>
      <c r="I23" t="str">
        <f>HYPERLINK("https://zfin.org/ZDB-GENE-040426-2937")</f>
        <v>https://zfin.org/ZDB-GENE-040426-2937</v>
      </c>
      <c r="J23" t="s">
        <v>4326</v>
      </c>
    </row>
    <row r="24" spans="1:10" x14ac:dyDescent="0.2">
      <c r="A24">
        <v>2.9054393742481099E-2</v>
      </c>
      <c r="B24">
        <v>-0.30221866082617299</v>
      </c>
      <c r="C24">
        <v>0.72899999999999998</v>
      </c>
      <c r="D24">
        <v>0.76200000000000001</v>
      </c>
      <c r="E24">
        <v>1</v>
      </c>
      <c r="F24" t="s">
        <v>141</v>
      </c>
      <c r="G24" t="s">
        <v>142</v>
      </c>
      <c r="H24" t="s">
        <v>141</v>
      </c>
      <c r="I24" t="str">
        <f>HYPERLINK("https://zfin.org/ZDB-GENE-040426-2770")</f>
        <v>https://zfin.org/ZDB-GENE-040426-2770</v>
      </c>
      <c r="J24" t="s">
        <v>143</v>
      </c>
    </row>
    <row r="25" spans="1:10" x14ac:dyDescent="0.2">
      <c r="A25">
        <v>3.3073550012877997E-2</v>
      </c>
      <c r="B25">
        <v>-0.456472492939416</v>
      </c>
      <c r="C25">
        <v>0.627</v>
      </c>
      <c r="D25">
        <v>0.67400000000000004</v>
      </c>
      <c r="E25">
        <v>1</v>
      </c>
      <c r="F25" t="s">
        <v>192</v>
      </c>
      <c r="G25" t="s">
        <v>193</v>
      </c>
      <c r="H25" t="s">
        <v>192</v>
      </c>
      <c r="I25" t="str">
        <f>HYPERLINK("https://zfin.org/ZDB-GENE-030131-9126")</f>
        <v>https://zfin.org/ZDB-GENE-030131-9126</v>
      </c>
      <c r="J25" t="s">
        <v>194</v>
      </c>
    </row>
    <row r="26" spans="1:10" x14ac:dyDescent="0.2">
      <c r="A26">
        <v>3.3117919716948399E-2</v>
      </c>
      <c r="B26">
        <v>-0.36111768489754598</v>
      </c>
      <c r="C26">
        <v>5.0999999999999997E-2</v>
      </c>
      <c r="D26">
        <v>0.155</v>
      </c>
      <c r="E26">
        <v>1</v>
      </c>
      <c r="F26" t="s">
        <v>4324</v>
      </c>
      <c r="G26" t="s">
        <v>4325</v>
      </c>
      <c r="H26" t="s">
        <v>4324</v>
      </c>
      <c r="I26" t="str">
        <f>HYPERLINK("https://zfin.org/ZDB-GENE-060825-333")</f>
        <v>https://zfin.org/ZDB-GENE-060825-333</v>
      </c>
      <c r="J26" t="s">
        <v>4323</v>
      </c>
    </row>
    <row r="27" spans="1:10" x14ac:dyDescent="0.2">
      <c r="A27">
        <v>3.3967373664964197E-2</v>
      </c>
      <c r="B27">
        <v>-0.341904998989634</v>
      </c>
      <c r="C27">
        <v>1.7000000000000001E-2</v>
      </c>
      <c r="D27">
        <v>0.104</v>
      </c>
      <c r="E27">
        <v>1</v>
      </c>
      <c r="F27" t="s">
        <v>4321</v>
      </c>
      <c r="G27" t="s">
        <v>4322</v>
      </c>
      <c r="H27" t="s">
        <v>4321</v>
      </c>
      <c r="I27" t="str">
        <f>HYPERLINK("https://zfin.org/ZDB-GENE-080303-16")</f>
        <v>https://zfin.org/ZDB-GENE-080303-16</v>
      </c>
      <c r="J27" t="s">
        <v>4320</v>
      </c>
    </row>
    <row r="28" spans="1:10" x14ac:dyDescent="0.2">
      <c r="A28">
        <v>3.4689130652104598E-2</v>
      </c>
      <c r="B28">
        <v>-0.37981048501644898</v>
      </c>
      <c r="C28">
        <v>0.35599999999999998</v>
      </c>
      <c r="D28">
        <v>0.47699999999999998</v>
      </c>
      <c r="E28">
        <v>1</v>
      </c>
      <c r="F28" t="s">
        <v>3377</v>
      </c>
      <c r="G28" t="s">
        <v>3378</v>
      </c>
      <c r="H28" t="s">
        <v>3377</v>
      </c>
      <c r="I28" t="str">
        <f>HYPERLINK("https://zfin.org/ZDB-GENE-040426-1883")</f>
        <v>https://zfin.org/ZDB-GENE-040426-1883</v>
      </c>
      <c r="J28" t="s">
        <v>3376</v>
      </c>
    </row>
    <row r="29" spans="1:10" x14ac:dyDescent="0.2">
      <c r="A29">
        <v>3.51455640133456E-2</v>
      </c>
      <c r="B29">
        <v>-0.37514875111896201</v>
      </c>
      <c r="C29">
        <v>8.5000000000000006E-2</v>
      </c>
      <c r="D29">
        <v>0.19700000000000001</v>
      </c>
      <c r="E29">
        <v>1</v>
      </c>
      <c r="F29" t="s">
        <v>4318</v>
      </c>
      <c r="G29" t="s">
        <v>4319</v>
      </c>
      <c r="H29" t="s">
        <v>4318</v>
      </c>
      <c r="I29" t="str">
        <f>HYPERLINK("https://zfin.org/ZDB-GENE-070424-97")</f>
        <v>https://zfin.org/ZDB-GENE-070424-97</v>
      </c>
      <c r="J29" t="s">
        <v>4317</v>
      </c>
    </row>
    <row r="30" spans="1:10" x14ac:dyDescent="0.2">
      <c r="A30">
        <v>3.5227636450944698E-2</v>
      </c>
      <c r="B30">
        <v>-0.44299576143907599</v>
      </c>
      <c r="C30">
        <v>0.30499999999999999</v>
      </c>
      <c r="D30">
        <v>0.42</v>
      </c>
      <c r="E30">
        <v>1</v>
      </c>
      <c r="F30" t="s">
        <v>4315</v>
      </c>
      <c r="G30" t="s">
        <v>4316</v>
      </c>
      <c r="H30" t="s">
        <v>4315</v>
      </c>
      <c r="I30" t="str">
        <f>HYPERLINK("https://zfin.org/ZDB-GENE-040718-136")</f>
        <v>https://zfin.org/ZDB-GENE-040718-136</v>
      </c>
      <c r="J30" t="s">
        <v>4314</v>
      </c>
    </row>
    <row r="31" spans="1:10" x14ac:dyDescent="0.2">
      <c r="A31">
        <v>3.6681987457979202E-2</v>
      </c>
      <c r="B31">
        <v>-0.39533302436560602</v>
      </c>
      <c r="C31">
        <v>0.23699999999999999</v>
      </c>
      <c r="D31">
        <v>0.35799999999999998</v>
      </c>
      <c r="E31">
        <v>1</v>
      </c>
      <c r="F31" t="s">
        <v>4312</v>
      </c>
      <c r="G31" t="s">
        <v>4313</v>
      </c>
      <c r="H31" t="s">
        <v>4312</v>
      </c>
      <c r="I31" t="str">
        <f>HYPERLINK("https://zfin.org/ZDB-GENE-031105-2")</f>
        <v>https://zfin.org/ZDB-GENE-031105-2</v>
      </c>
      <c r="J31" t="s">
        <v>4311</v>
      </c>
    </row>
    <row r="32" spans="1:10" x14ac:dyDescent="0.2">
      <c r="A32">
        <v>3.8676467227518697E-2</v>
      </c>
      <c r="B32">
        <v>-0.40930754338391301</v>
      </c>
      <c r="C32">
        <v>5.0999999999999997E-2</v>
      </c>
      <c r="D32">
        <v>0.14499999999999999</v>
      </c>
      <c r="E32">
        <v>1</v>
      </c>
      <c r="F32" t="s">
        <v>4309</v>
      </c>
      <c r="G32" t="s">
        <v>4310</v>
      </c>
      <c r="H32" t="s">
        <v>4309</v>
      </c>
      <c r="I32" t="str">
        <f>HYPERLINK("https://zfin.org/ZDB-GENE-041212-71")</f>
        <v>https://zfin.org/ZDB-GENE-041212-71</v>
      </c>
      <c r="J32" t="s">
        <v>4308</v>
      </c>
    </row>
    <row r="33" spans="1:10" x14ac:dyDescent="0.2">
      <c r="A33">
        <v>4.0480201607801497E-2</v>
      </c>
      <c r="B33">
        <v>-0.283598755243258</v>
      </c>
      <c r="C33">
        <v>0.64400000000000002</v>
      </c>
      <c r="D33">
        <v>0.65800000000000003</v>
      </c>
      <c r="E33">
        <v>1</v>
      </c>
      <c r="F33" t="s">
        <v>1367</v>
      </c>
      <c r="G33" t="s">
        <v>1368</v>
      </c>
      <c r="H33" t="s">
        <v>1367</v>
      </c>
      <c r="I33" t="str">
        <f>HYPERLINK("https://zfin.org/ZDB-GENE-030131-8567")</f>
        <v>https://zfin.org/ZDB-GENE-030131-8567</v>
      </c>
      <c r="J33" t="s">
        <v>1366</v>
      </c>
    </row>
    <row r="34" spans="1:10" x14ac:dyDescent="0.2">
      <c r="A34">
        <v>4.1073617553766401E-2</v>
      </c>
      <c r="B34">
        <v>-0.35613819909830402</v>
      </c>
      <c r="C34">
        <v>5.0999999999999997E-2</v>
      </c>
      <c r="D34">
        <v>0.15</v>
      </c>
      <c r="E34">
        <v>1</v>
      </c>
      <c r="F34" t="s">
        <v>4306</v>
      </c>
      <c r="G34" t="s">
        <v>4307</v>
      </c>
      <c r="H34" t="s">
        <v>4306</v>
      </c>
      <c r="I34" t="str">
        <f>HYPERLINK("https://zfin.org/ZDB-GENE-020419-18")</f>
        <v>https://zfin.org/ZDB-GENE-020419-18</v>
      </c>
      <c r="J34" t="s">
        <v>4305</v>
      </c>
    </row>
    <row r="35" spans="1:10" x14ac:dyDescent="0.2">
      <c r="A35">
        <v>4.1525079407387699E-2</v>
      </c>
      <c r="B35">
        <v>-0.38505587881589498</v>
      </c>
      <c r="C35">
        <v>0.11899999999999999</v>
      </c>
      <c r="D35">
        <v>0.23799999999999999</v>
      </c>
      <c r="E35">
        <v>1</v>
      </c>
      <c r="F35" t="s">
        <v>4303</v>
      </c>
      <c r="G35" t="s">
        <v>4304</v>
      </c>
      <c r="H35" t="s">
        <v>4303</v>
      </c>
      <c r="I35" t="str">
        <f>HYPERLINK("https://zfin.org/ZDB-GENE-050417-145")</f>
        <v>https://zfin.org/ZDB-GENE-050417-145</v>
      </c>
      <c r="J35" t="s">
        <v>4302</v>
      </c>
    </row>
    <row r="36" spans="1:10" x14ac:dyDescent="0.2">
      <c r="A36">
        <v>4.5284370729803902E-2</v>
      </c>
      <c r="B36">
        <v>-0.37297189110800699</v>
      </c>
      <c r="C36">
        <v>0.10199999999999999</v>
      </c>
      <c r="D36">
        <v>0.21199999999999999</v>
      </c>
      <c r="E36">
        <v>1</v>
      </c>
      <c r="F36" t="s">
        <v>4300</v>
      </c>
      <c r="G36" t="s">
        <v>4301</v>
      </c>
      <c r="H36" t="s">
        <v>4300</v>
      </c>
      <c r="I36" t="str">
        <f>HYPERLINK("https://zfin.org/ZDB-GENE-060810-94")</f>
        <v>https://zfin.org/ZDB-GENE-060810-94</v>
      </c>
      <c r="J36" t="s">
        <v>4299</v>
      </c>
    </row>
    <row r="37" spans="1:10" x14ac:dyDescent="0.2">
      <c r="A37">
        <v>4.5637223851939301E-2</v>
      </c>
      <c r="B37">
        <v>-0.33716914235655798</v>
      </c>
      <c r="C37">
        <v>3.4000000000000002E-2</v>
      </c>
      <c r="D37">
        <v>0.11899999999999999</v>
      </c>
      <c r="E37">
        <v>1</v>
      </c>
      <c r="F37" t="s">
        <v>4297</v>
      </c>
      <c r="G37" t="s">
        <v>4298</v>
      </c>
      <c r="H37" t="s">
        <v>4297</v>
      </c>
      <c r="I37" t="str">
        <f>HYPERLINK("https://zfin.org/ZDB-GENE-050913-30")</f>
        <v>https://zfin.org/ZDB-GENE-050913-30</v>
      </c>
      <c r="J37" t="s">
        <v>4296</v>
      </c>
    </row>
    <row r="38" spans="1:10" x14ac:dyDescent="0.2">
      <c r="A38">
        <v>4.69301874892614E-2</v>
      </c>
      <c r="B38">
        <v>-0.38120448609047602</v>
      </c>
      <c r="C38">
        <v>3.4000000000000002E-2</v>
      </c>
      <c r="D38">
        <v>0.11899999999999999</v>
      </c>
      <c r="E38">
        <v>1</v>
      </c>
      <c r="F38" t="s">
        <v>3134</v>
      </c>
      <c r="G38" t="s">
        <v>3135</v>
      </c>
      <c r="H38" t="s">
        <v>3134</v>
      </c>
      <c r="I38" t="str">
        <f>HYPERLINK("https://zfin.org/ZDB-GENE-070424-163")</f>
        <v>https://zfin.org/ZDB-GENE-070424-163</v>
      </c>
      <c r="J38" t="s">
        <v>3133</v>
      </c>
    </row>
    <row r="39" spans="1:10" x14ac:dyDescent="0.2">
      <c r="A39">
        <v>4.75062177167185E-2</v>
      </c>
      <c r="B39">
        <v>-0.30241111402974602</v>
      </c>
      <c r="C39">
        <v>5.0999999999999997E-2</v>
      </c>
      <c r="D39">
        <v>0.14499999999999999</v>
      </c>
      <c r="E39">
        <v>1</v>
      </c>
      <c r="F39" t="s">
        <v>3787</v>
      </c>
      <c r="G39" t="s">
        <v>3788</v>
      </c>
      <c r="H39" t="s">
        <v>3787</v>
      </c>
      <c r="I39" t="str">
        <f>HYPERLINK("https://zfin.org/ZDB-GENE-090508-16")</f>
        <v>https://zfin.org/ZDB-GENE-090508-16</v>
      </c>
      <c r="J39" t="s">
        <v>3786</v>
      </c>
    </row>
    <row r="40" spans="1:10" x14ac:dyDescent="0.2">
      <c r="A40">
        <v>5.11825455645918E-2</v>
      </c>
      <c r="B40">
        <v>-0.359860118829543</v>
      </c>
      <c r="C40">
        <v>8.5000000000000006E-2</v>
      </c>
      <c r="D40">
        <v>0.187</v>
      </c>
      <c r="E40">
        <v>1</v>
      </c>
      <c r="F40" t="s">
        <v>3140</v>
      </c>
      <c r="G40" t="s">
        <v>3141</v>
      </c>
      <c r="H40" t="s">
        <v>3140</v>
      </c>
      <c r="I40" t="str">
        <f>HYPERLINK("https://zfin.org/ZDB-GENE-040122-3")</f>
        <v>https://zfin.org/ZDB-GENE-040122-3</v>
      </c>
      <c r="J40" t="s">
        <v>3139</v>
      </c>
    </row>
    <row r="41" spans="1:10" x14ac:dyDescent="0.2">
      <c r="A41">
        <v>5.3203722262409499E-2</v>
      </c>
      <c r="B41">
        <v>-0.45556396343168698</v>
      </c>
      <c r="C41">
        <v>0.153</v>
      </c>
      <c r="D41">
        <v>0.254</v>
      </c>
      <c r="E41">
        <v>1</v>
      </c>
      <c r="F41" t="s">
        <v>4294</v>
      </c>
      <c r="G41" t="s">
        <v>4295</v>
      </c>
      <c r="H41" t="s">
        <v>4294</v>
      </c>
      <c r="I41" t="str">
        <f>HYPERLINK("https://zfin.org/ZDB-GENE-080305-8")</f>
        <v>https://zfin.org/ZDB-GENE-080305-8</v>
      </c>
      <c r="J41" t="s">
        <v>4293</v>
      </c>
    </row>
    <row r="42" spans="1:10" x14ac:dyDescent="0.2">
      <c r="A42">
        <v>5.3264963726610701E-2</v>
      </c>
      <c r="B42">
        <v>-0.49673779795526501</v>
      </c>
      <c r="C42">
        <v>0.254</v>
      </c>
      <c r="D42">
        <v>0.378</v>
      </c>
      <c r="E42">
        <v>1</v>
      </c>
      <c r="F42" t="s">
        <v>1936</v>
      </c>
      <c r="G42" t="s">
        <v>1937</v>
      </c>
      <c r="H42" t="s">
        <v>1936</v>
      </c>
      <c r="I42" t="str">
        <f>HYPERLINK("https://zfin.org/ZDB-GENE-041010-89")</f>
        <v>https://zfin.org/ZDB-GENE-041010-89</v>
      </c>
      <c r="J42" t="s">
        <v>1935</v>
      </c>
    </row>
    <row r="43" spans="1:10" x14ac:dyDescent="0.2">
      <c r="A43">
        <v>5.4348657107114402E-2</v>
      </c>
      <c r="B43">
        <v>-0.39956712846501002</v>
      </c>
      <c r="C43">
        <v>0.52500000000000002</v>
      </c>
      <c r="D43">
        <v>0.60099999999999998</v>
      </c>
      <c r="E43">
        <v>1</v>
      </c>
      <c r="F43" t="s">
        <v>1906</v>
      </c>
      <c r="G43" t="s">
        <v>1907</v>
      </c>
      <c r="H43" t="s">
        <v>1906</v>
      </c>
      <c r="I43" t="str">
        <f>HYPERLINK("https://zfin.org/ZDB-GENE-980526-416")</f>
        <v>https://zfin.org/ZDB-GENE-980526-416</v>
      </c>
      <c r="J43" t="s">
        <v>1905</v>
      </c>
    </row>
    <row r="44" spans="1:10" x14ac:dyDescent="0.2">
      <c r="A44">
        <v>5.7759572106272097E-2</v>
      </c>
      <c r="B44">
        <v>-0.31664341657553302</v>
      </c>
      <c r="C44">
        <v>3.4000000000000002E-2</v>
      </c>
      <c r="D44">
        <v>0.114</v>
      </c>
      <c r="E44">
        <v>1</v>
      </c>
      <c r="F44" t="s">
        <v>4291</v>
      </c>
      <c r="G44" t="s">
        <v>4292</v>
      </c>
      <c r="H44" t="s">
        <v>4291</v>
      </c>
      <c r="I44" t="str">
        <f>HYPERLINK("https://zfin.org/ZDB-GENE-050522-120")</f>
        <v>https://zfin.org/ZDB-GENE-050522-120</v>
      </c>
      <c r="J44" t="s">
        <v>4290</v>
      </c>
    </row>
    <row r="45" spans="1:10" x14ac:dyDescent="0.2">
      <c r="A45">
        <v>5.7759572106272097E-2</v>
      </c>
      <c r="B45">
        <v>-0.37552937251322299</v>
      </c>
      <c r="C45">
        <v>3.4000000000000002E-2</v>
      </c>
      <c r="D45">
        <v>0.114</v>
      </c>
      <c r="E45">
        <v>1</v>
      </c>
      <c r="F45" t="s">
        <v>4288</v>
      </c>
      <c r="G45" t="s">
        <v>4289</v>
      </c>
      <c r="H45" t="s">
        <v>4288</v>
      </c>
      <c r="I45" t="str">
        <f>HYPERLINK("https://zfin.org/ZDB-GENE-030826-3")</f>
        <v>https://zfin.org/ZDB-GENE-030826-3</v>
      </c>
      <c r="J45" t="s">
        <v>4287</v>
      </c>
    </row>
    <row r="46" spans="1:10" x14ac:dyDescent="0.2">
      <c r="A46">
        <v>5.9087749089947898E-2</v>
      </c>
      <c r="B46">
        <v>-0.46782160380903698</v>
      </c>
      <c r="C46">
        <v>0.50800000000000001</v>
      </c>
      <c r="D46">
        <v>0.56000000000000005</v>
      </c>
      <c r="E46">
        <v>1</v>
      </c>
      <c r="F46" t="s">
        <v>4285</v>
      </c>
      <c r="G46" t="s">
        <v>4286</v>
      </c>
      <c r="H46" t="s">
        <v>4285</v>
      </c>
      <c r="I46" t="str">
        <f>HYPERLINK("https://zfin.org/ZDB-GENE-030131-337")</f>
        <v>https://zfin.org/ZDB-GENE-030131-337</v>
      </c>
      <c r="J46" t="s">
        <v>4284</v>
      </c>
    </row>
    <row r="47" spans="1:10" x14ac:dyDescent="0.2">
      <c r="A47">
        <v>6.3248018608252701E-2</v>
      </c>
      <c r="B47">
        <v>-0.28528506299857997</v>
      </c>
      <c r="C47">
        <v>3.4000000000000002E-2</v>
      </c>
      <c r="D47">
        <v>0.114</v>
      </c>
      <c r="E47">
        <v>1</v>
      </c>
      <c r="F47" t="s">
        <v>4282</v>
      </c>
      <c r="G47" t="s">
        <v>4283</v>
      </c>
      <c r="H47" t="s">
        <v>4282</v>
      </c>
      <c r="I47" t="str">
        <f>HYPERLINK("https://zfin.org/ZDB-GENE-041210-114")</f>
        <v>https://zfin.org/ZDB-GENE-041210-114</v>
      </c>
      <c r="J47" t="s">
        <v>4281</v>
      </c>
    </row>
    <row r="48" spans="1:10" x14ac:dyDescent="0.2">
      <c r="A48">
        <v>6.4653573285405705E-2</v>
      </c>
      <c r="B48">
        <v>-0.25585515781933399</v>
      </c>
      <c r="C48">
        <v>0.89800000000000002</v>
      </c>
      <c r="D48">
        <v>0.91700000000000004</v>
      </c>
      <c r="E48">
        <v>1</v>
      </c>
      <c r="F48" t="s">
        <v>4279</v>
      </c>
      <c r="G48" t="s">
        <v>4280</v>
      </c>
      <c r="H48" t="s">
        <v>4279</v>
      </c>
      <c r="I48" t="str">
        <f>HYPERLINK("https://zfin.org/ZDB-GENE-050419-122")</f>
        <v>https://zfin.org/ZDB-GENE-050419-122</v>
      </c>
      <c r="J48" t="s">
        <v>4278</v>
      </c>
    </row>
    <row r="49" spans="1:10" x14ac:dyDescent="0.2">
      <c r="A49">
        <v>6.6901726034308703E-2</v>
      </c>
      <c r="B49">
        <v>-0.28445956047014198</v>
      </c>
      <c r="C49">
        <v>0.91500000000000004</v>
      </c>
      <c r="D49">
        <v>0.91200000000000003</v>
      </c>
      <c r="E49">
        <v>1</v>
      </c>
      <c r="F49" t="s">
        <v>67</v>
      </c>
      <c r="G49" t="s">
        <v>68</v>
      </c>
      <c r="H49" t="s">
        <v>67</v>
      </c>
      <c r="I49" t="str">
        <f>HYPERLINK("https://zfin.org/ZDB-GENE-040426-2666")</f>
        <v>https://zfin.org/ZDB-GENE-040426-2666</v>
      </c>
      <c r="J49" t="s">
        <v>69</v>
      </c>
    </row>
    <row r="50" spans="1:10" x14ac:dyDescent="0.2">
      <c r="A50">
        <v>6.7943025607749993E-2</v>
      </c>
      <c r="B50">
        <v>-0.29155202717498702</v>
      </c>
      <c r="C50">
        <v>3.4000000000000002E-2</v>
      </c>
      <c r="D50">
        <v>0.114</v>
      </c>
      <c r="E50">
        <v>1</v>
      </c>
      <c r="F50" t="s">
        <v>4276</v>
      </c>
      <c r="G50" t="s">
        <v>4277</v>
      </c>
      <c r="H50" t="s">
        <v>4276</v>
      </c>
      <c r="I50" t="str">
        <f>HYPERLINK("https://zfin.org/ZDB-GENE-070927-10")</f>
        <v>https://zfin.org/ZDB-GENE-070927-10</v>
      </c>
      <c r="J50" t="s">
        <v>4275</v>
      </c>
    </row>
    <row r="51" spans="1:10" x14ac:dyDescent="0.2">
      <c r="A51">
        <v>7.08368736412473E-2</v>
      </c>
      <c r="B51">
        <v>-0.34746954061671198</v>
      </c>
      <c r="C51">
        <v>0.11899999999999999</v>
      </c>
      <c r="D51">
        <v>0.218</v>
      </c>
      <c r="E51">
        <v>1</v>
      </c>
      <c r="F51" t="s">
        <v>4273</v>
      </c>
      <c r="G51" t="s">
        <v>4274</v>
      </c>
      <c r="H51" t="s">
        <v>4273</v>
      </c>
      <c r="I51" t="str">
        <f>HYPERLINK("https://zfin.org/ZDB-GENE-041212-38")</f>
        <v>https://zfin.org/ZDB-GENE-041212-38</v>
      </c>
      <c r="J51" t="s">
        <v>4272</v>
      </c>
    </row>
    <row r="52" spans="1:10" x14ac:dyDescent="0.2">
      <c r="A52">
        <v>7.3559730331005393E-2</v>
      </c>
      <c r="B52">
        <v>-0.33246508403076602</v>
      </c>
      <c r="C52">
        <v>3.4000000000000002E-2</v>
      </c>
      <c r="D52">
        <v>0.109</v>
      </c>
      <c r="E52">
        <v>1</v>
      </c>
      <c r="F52" t="s">
        <v>4270</v>
      </c>
      <c r="G52" t="s">
        <v>4271</v>
      </c>
      <c r="H52" t="s">
        <v>4270</v>
      </c>
      <c r="I52" t="str">
        <f>HYPERLINK("https://zfin.org/ZDB-GENE-000112-47")</f>
        <v>https://zfin.org/ZDB-GENE-000112-47</v>
      </c>
      <c r="J52" t="s">
        <v>4269</v>
      </c>
    </row>
    <row r="53" spans="1:10" x14ac:dyDescent="0.2">
      <c r="A53">
        <v>7.5758164808199996E-2</v>
      </c>
      <c r="B53">
        <v>-0.33174808068277201</v>
      </c>
      <c r="C53">
        <v>0.186</v>
      </c>
      <c r="D53">
        <v>0.30099999999999999</v>
      </c>
      <c r="E53">
        <v>1</v>
      </c>
      <c r="F53" t="s">
        <v>4267</v>
      </c>
      <c r="G53" t="s">
        <v>4268</v>
      </c>
      <c r="H53" t="s">
        <v>4267</v>
      </c>
      <c r="I53" t="str">
        <f>HYPERLINK("https://zfin.org/ZDB-GENE-030131-1009")</f>
        <v>https://zfin.org/ZDB-GENE-030131-1009</v>
      </c>
      <c r="J53" t="s">
        <v>4266</v>
      </c>
    </row>
    <row r="54" spans="1:10" x14ac:dyDescent="0.2">
      <c r="A54">
        <v>7.7256113739206794E-2</v>
      </c>
      <c r="B54">
        <v>-0.34474194191735902</v>
      </c>
      <c r="C54">
        <v>0.39</v>
      </c>
      <c r="D54">
        <v>0.46100000000000002</v>
      </c>
      <c r="E54">
        <v>1</v>
      </c>
      <c r="F54" t="s">
        <v>3560</v>
      </c>
      <c r="G54" t="s">
        <v>3561</v>
      </c>
      <c r="H54" t="s">
        <v>3560</v>
      </c>
      <c r="I54" t="str">
        <f>HYPERLINK("https://zfin.org/ZDB-GENE-030131-6583")</f>
        <v>https://zfin.org/ZDB-GENE-030131-6583</v>
      </c>
      <c r="J54" t="s">
        <v>3559</v>
      </c>
    </row>
    <row r="55" spans="1:10" x14ac:dyDescent="0.2">
      <c r="A55">
        <v>7.8281512584304005E-2</v>
      </c>
      <c r="B55">
        <v>-0.269788447091516</v>
      </c>
      <c r="C55">
        <v>3.4000000000000002E-2</v>
      </c>
      <c r="D55">
        <v>0.109</v>
      </c>
      <c r="E55">
        <v>1</v>
      </c>
      <c r="F55" t="s">
        <v>4264</v>
      </c>
      <c r="G55" t="s">
        <v>4265</v>
      </c>
      <c r="H55" t="s">
        <v>4264</v>
      </c>
      <c r="I55" t="str">
        <f>HYPERLINK("https://zfin.org/ZDB-GENE-120814-1")</f>
        <v>https://zfin.org/ZDB-GENE-120814-1</v>
      </c>
      <c r="J55" t="s">
        <v>4263</v>
      </c>
    </row>
    <row r="56" spans="1:10" x14ac:dyDescent="0.2">
      <c r="A56">
        <v>8.2931667546735505E-2</v>
      </c>
      <c r="B56">
        <v>-0.332266358691376</v>
      </c>
      <c r="C56">
        <v>0.55900000000000005</v>
      </c>
      <c r="D56">
        <v>0.63200000000000001</v>
      </c>
      <c r="E56">
        <v>1</v>
      </c>
      <c r="F56" t="s">
        <v>3266</v>
      </c>
      <c r="G56" t="s">
        <v>3267</v>
      </c>
      <c r="H56" t="s">
        <v>3266</v>
      </c>
      <c r="I56" t="str">
        <f>HYPERLINK("https://zfin.org/ZDB-GENE-040426-2308")</f>
        <v>https://zfin.org/ZDB-GENE-040426-2308</v>
      </c>
      <c r="J56" t="s">
        <v>3265</v>
      </c>
    </row>
    <row r="57" spans="1:10" x14ac:dyDescent="0.2">
      <c r="A57">
        <v>8.6759600418088195E-2</v>
      </c>
      <c r="B57">
        <v>-0.30074436090756101</v>
      </c>
      <c r="C57">
        <v>0.10199999999999999</v>
      </c>
      <c r="D57">
        <v>0.192</v>
      </c>
      <c r="E57">
        <v>1</v>
      </c>
      <c r="F57" t="s">
        <v>4261</v>
      </c>
      <c r="G57" t="s">
        <v>4262</v>
      </c>
      <c r="H57" t="s">
        <v>4261</v>
      </c>
      <c r="I57" t="str">
        <f>HYPERLINK("https://zfin.org/ZDB-GENE-031112-5")</f>
        <v>https://zfin.org/ZDB-GENE-031112-5</v>
      </c>
      <c r="J57" t="s">
        <v>4260</v>
      </c>
    </row>
    <row r="58" spans="1:10" x14ac:dyDescent="0.2">
      <c r="A58">
        <v>8.9551441159080203E-2</v>
      </c>
      <c r="B58">
        <v>-0.37534481467680197</v>
      </c>
      <c r="C58">
        <v>0.39</v>
      </c>
      <c r="D58">
        <v>0.47199999999999998</v>
      </c>
      <c r="E58">
        <v>1</v>
      </c>
      <c r="F58" t="s">
        <v>1458</v>
      </c>
      <c r="G58" t="s">
        <v>1459</v>
      </c>
      <c r="H58" t="s">
        <v>1458</v>
      </c>
      <c r="I58" t="str">
        <f>HYPERLINK("https://zfin.org/ZDB-GENE-030131-9")</f>
        <v>https://zfin.org/ZDB-GENE-030131-9</v>
      </c>
      <c r="J58" t="s">
        <v>1457</v>
      </c>
    </row>
    <row r="59" spans="1:10" x14ac:dyDescent="0.2">
      <c r="A59">
        <v>8.9673574348197296E-2</v>
      </c>
      <c r="B59">
        <v>-0.346927403112262</v>
      </c>
      <c r="C59">
        <v>0.11899999999999999</v>
      </c>
      <c r="D59">
        <v>0.20699999999999999</v>
      </c>
      <c r="E59">
        <v>1</v>
      </c>
      <c r="F59" t="s">
        <v>4258</v>
      </c>
      <c r="G59" t="s">
        <v>4259</v>
      </c>
      <c r="H59" t="s">
        <v>4258</v>
      </c>
      <c r="I59" t="str">
        <f>HYPERLINK("https://zfin.org/ZDB-GENE-031219-6")</f>
        <v>https://zfin.org/ZDB-GENE-031219-6</v>
      </c>
      <c r="J59" t="s">
        <v>4257</v>
      </c>
    </row>
    <row r="60" spans="1:10" x14ac:dyDescent="0.2">
      <c r="A60">
        <v>9.0998594280909298E-2</v>
      </c>
      <c r="B60">
        <v>-0.32804659492462701</v>
      </c>
      <c r="C60">
        <v>0.59299999999999997</v>
      </c>
      <c r="D60">
        <v>0.58499999999999996</v>
      </c>
      <c r="E60">
        <v>1</v>
      </c>
      <c r="F60" t="s">
        <v>1445</v>
      </c>
      <c r="G60" t="s">
        <v>1446</v>
      </c>
      <c r="H60" t="s">
        <v>1445</v>
      </c>
      <c r="I60" t="str">
        <f>HYPERLINK("https://zfin.org/ZDB-GENE-041210-191")</f>
        <v>https://zfin.org/ZDB-GENE-041210-191</v>
      </c>
      <c r="J60" t="s">
        <v>1444</v>
      </c>
    </row>
    <row r="61" spans="1:10" x14ac:dyDescent="0.2">
      <c r="A61">
        <v>9.1510118736897697E-2</v>
      </c>
      <c r="B61">
        <v>-0.38164620622928103</v>
      </c>
      <c r="C61">
        <v>8.5000000000000006E-2</v>
      </c>
      <c r="D61">
        <v>0.16600000000000001</v>
      </c>
      <c r="E61">
        <v>1</v>
      </c>
      <c r="F61" t="s">
        <v>4255</v>
      </c>
      <c r="G61" t="s">
        <v>4256</v>
      </c>
      <c r="H61" t="s">
        <v>4255</v>
      </c>
      <c r="I61" t="str">
        <f>HYPERLINK("https://zfin.org/ZDB-GENE-131121-530")</f>
        <v>https://zfin.org/ZDB-GENE-131121-530</v>
      </c>
      <c r="J61" t="s">
        <v>4254</v>
      </c>
    </row>
    <row r="62" spans="1:10" x14ac:dyDescent="0.2">
      <c r="A62">
        <v>9.5007050290647696E-2</v>
      </c>
      <c r="B62">
        <v>-0.314948193919871</v>
      </c>
      <c r="C62">
        <v>0.13600000000000001</v>
      </c>
      <c r="D62">
        <v>0.22800000000000001</v>
      </c>
      <c r="E62">
        <v>1</v>
      </c>
      <c r="F62" t="s">
        <v>1713</v>
      </c>
      <c r="G62" t="s">
        <v>1714</v>
      </c>
      <c r="H62" t="s">
        <v>1713</v>
      </c>
      <c r="I62" t="str">
        <f>HYPERLINK("https://zfin.org/ZDB-GENE-030323-1")</f>
        <v>https://zfin.org/ZDB-GENE-030323-1</v>
      </c>
      <c r="J62" t="s">
        <v>1712</v>
      </c>
    </row>
    <row r="63" spans="1:10" x14ac:dyDescent="0.2">
      <c r="A63">
        <v>0.10319602416635699</v>
      </c>
      <c r="B63">
        <v>-0.32583973680933098</v>
      </c>
      <c r="C63">
        <v>0.373</v>
      </c>
      <c r="D63">
        <v>0.42499999999999999</v>
      </c>
      <c r="E63">
        <v>1</v>
      </c>
      <c r="F63" t="s">
        <v>4252</v>
      </c>
      <c r="G63" t="s">
        <v>4253</v>
      </c>
      <c r="H63" t="s">
        <v>4252</v>
      </c>
      <c r="I63" t="str">
        <f>HYPERLINK("https://zfin.org/ZDB-GENE-030131-180")</f>
        <v>https://zfin.org/ZDB-GENE-030131-180</v>
      </c>
      <c r="J63" t="s">
        <v>4251</v>
      </c>
    </row>
    <row r="64" spans="1:10" x14ac:dyDescent="0.2">
      <c r="A64">
        <v>0.10347590135375</v>
      </c>
      <c r="B64">
        <v>-0.30192492209873201</v>
      </c>
      <c r="C64">
        <v>6.8000000000000005E-2</v>
      </c>
      <c r="D64">
        <v>0.14499999999999999</v>
      </c>
      <c r="E64">
        <v>1</v>
      </c>
      <c r="F64" t="s">
        <v>4249</v>
      </c>
      <c r="G64" t="s">
        <v>4250</v>
      </c>
      <c r="H64" t="s">
        <v>4249</v>
      </c>
      <c r="I64" t="str">
        <f>HYPERLINK("https://zfin.org/ZDB-GENE-090313-243")</f>
        <v>https://zfin.org/ZDB-GENE-090313-243</v>
      </c>
      <c r="J64" t="s">
        <v>4248</v>
      </c>
    </row>
    <row r="65" spans="1:10" x14ac:dyDescent="0.2">
      <c r="A65">
        <v>0.105855383223733</v>
      </c>
      <c r="B65">
        <v>-0.38493041661815303</v>
      </c>
      <c r="C65">
        <v>0.254</v>
      </c>
      <c r="D65">
        <v>0.34200000000000003</v>
      </c>
      <c r="E65">
        <v>1</v>
      </c>
      <c r="F65" t="s">
        <v>4246</v>
      </c>
      <c r="G65" t="s">
        <v>4247</v>
      </c>
      <c r="H65" t="s">
        <v>4246</v>
      </c>
      <c r="I65" t="str">
        <f>HYPERLINK("https://zfin.org/ZDB-GENE-050417-333")</f>
        <v>https://zfin.org/ZDB-GENE-050417-333</v>
      </c>
      <c r="J65" t="s">
        <v>4245</v>
      </c>
    </row>
    <row r="66" spans="1:10" x14ac:dyDescent="0.2">
      <c r="A66">
        <v>0.10777647973611</v>
      </c>
      <c r="B66">
        <v>-0.30956817198984499</v>
      </c>
      <c r="C66">
        <v>5.0999999999999997E-2</v>
      </c>
      <c r="D66">
        <v>0.11899999999999999</v>
      </c>
      <c r="E66">
        <v>1</v>
      </c>
      <c r="F66" t="s">
        <v>4243</v>
      </c>
      <c r="G66" t="s">
        <v>4244</v>
      </c>
      <c r="H66" t="s">
        <v>4243</v>
      </c>
      <c r="I66" t="str">
        <f>HYPERLINK("https://zfin.org/ZDB-GENE-030131-1361")</f>
        <v>https://zfin.org/ZDB-GENE-030131-1361</v>
      </c>
      <c r="J66" t="s">
        <v>4242</v>
      </c>
    </row>
    <row r="67" spans="1:10" x14ac:dyDescent="0.2">
      <c r="A67">
        <v>0.10987623365684</v>
      </c>
      <c r="B67">
        <v>-0.2501453316726</v>
      </c>
      <c r="C67">
        <v>0.45800000000000002</v>
      </c>
      <c r="D67">
        <v>0.50800000000000001</v>
      </c>
      <c r="E67">
        <v>1</v>
      </c>
      <c r="F67" t="s">
        <v>4240</v>
      </c>
      <c r="G67" t="s">
        <v>4241</v>
      </c>
      <c r="H67" t="s">
        <v>4240</v>
      </c>
      <c r="I67" t="str">
        <f>HYPERLINK("https://zfin.org/ZDB-GENE-040912-62")</f>
        <v>https://zfin.org/ZDB-GENE-040912-62</v>
      </c>
      <c r="J67" t="s">
        <v>4239</v>
      </c>
    </row>
    <row r="68" spans="1:10" x14ac:dyDescent="0.2">
      <c r="A68">
        <v>0.112268830412478</v>
      </c>
      <c r="B68">
        <v>-0.28712748558713602</v>
      </c>
      <c r="C68">
        <v>0.66100000000000003</v>
      </c>
      <c r="D68">
        <v>0.65800000000000003</v>
      </c>
      <c r="E68">
        <v>1</v>
      </c>
      <c r="F68" t="s">
        <v>4238</v>
      </c>
      <c r="G68" t="s">
        <v>4237</v>
      </c>
      <c r="H68" t="s">
        <v>839</v>
      </c>
      <c r="I68" t="str">
        <f>HYPERLINK("https://zfin.org/ZDB-GENE-050417-65")</f>
        <v>https://zfin.org/ZDB-GENE-050417-65</v>
      </c>
      <c r="J68" t="s">
        <v>838</v>
      </c>
    </row>
    <row r="69" spans="1:10" x14ac:dyDescent="0.2">
      <c r="A69">
        <v>0.115611518513122</v>
      </c>
      <c r="B69">
        <v>-0.26620067438278899</v>
      </c>
      <c r="C69">
        <v>0.153</v>
      </c>
      <c r="D69">
        <v>0.24399999999999999</v>
      </c>
      <c r="E69">
        <v>1</v>
      </c>
      <c r="F69" t="s">
        <v>4235</v>
      </c>
      <c r="G69" t="s">
        <v>4236</v>
      </c>
      <c r="H69" t="s">
        <v>4235</v>
      </c>
      <c r="I69" t="str">
        <f>HYPERLINK("https://zfin.org/ZDB-GENE-040625-88")</f>
        <v>https://zfin.org/ZDB-GENE-040625-88</v>
      </c>
      <c r="J69" t="s">
        <v>4234</v>
      </c>
    </row>
    <row r="70" spans="1:10" x14ac:dyDescent="0.2">
      <c r="A70">
        <v>0.12395204524032299</v>
      </c>
      <c r="B70">
        <v>-0.31193330229660499</v>
      </c>
      <c r="C70">
        <v>5.0999999999999997E-2</v>
      </c>
      <c r="D70">
        <v>0.114</v>
      </c>
      <c r="E70">
        <v>1</v>
      </c>
      <c r="F70" t="s">
        <v>4232</v>
      </c>
      <c r="G70" t="s">
        <v>4233</v>
      </c>
      <c r="H70" t="s">
        <v>4232</v>
      </c>
      <c r="I70" t="str">
        <f>HYPERLINK("https://zfin.org/ZDB-GENE-041114-22")</f>
        <v>https://zfin.org/ZDB-GENE-041114-22</v>
      </c>
      <c r="J70" t="s">
        <v>4231</v>
      </c>
    </row>
    <row r="71" spans="1:10" x14ac:dyDescent="0.2">
      <c r="A71">
        <v>0.126862613477916</v>
      </c>
      <c r="B71">
        <v>-0.26742691391204598</v>
      </c>
      <c r="C71">
        <v>5.0999999999999997E-2</v>
      </c>
      <c r="D71">
        <v>0.114</v>
      </c>
      <c r="E71">
        <v>1</v>
      </c>
      <c r="F71" t="s">
        <v>4229</v>
      </c>
      <c r="G71" t="s">
        <v>4230</v>
      </c>
      <c r="H71" t="s">
        <v>4229</v>
      </c>
      <c r="I71" t="str">
        <f>HYPERLINK("https://zfin.org/ZDB-GENE-061215-46")</f>
        <v>https://zfin.org/ZDB-GENE-061215-46</v>
      </c>
      <c r="J71" t="s">
        <v>4228</v>
      </c>
    </row>
    <row r="72" spans="1:10" x14ac:dyDescent="0.2">
      <c r="A72">
        <v>0.126862613477916</v>
      </c>
      <c r="B72">
        <v>-0.27877629078920302</v>
      </c>
      <c r="C72">
        <v>5.0999999999999997E-2</v>
      </c>
      <c r="D72">
        <v>0.114</v>
      </c>
      <c r="E72">
        <v>1</v>
      </c>
      <c r="F72" t="s">
        <v>4226</v>
      </c>
      <c r="G72" t="s">
        <v>4227</v>
      </c>
      <c r="H72" t="s">
        <v>4226</v>
      </c>
      <c r="I72" t="str">
        <f>HYPERLINK("https://zfin.org/ZDB-GENE-050309-241")</f>
        <v>https://zfin.org/ZDB-GENE-050309-241</v>
      </c>
      <c r="J72" t="s">
        <v>4225</v>
      </c>
    </row>
    <row r="73" spans="1:10" x14ac:dyDescent="0.2">
      <c r="A73">
        <v>0.127844536210722</v>
      </c>
      <c r="B73">
        <v>-0.29976787375347203</v>
      </c>
      <c r="C73">
        <v>5.0999999999999997E-2</v>
      </c>
      <c r="D73">
        <v>0.114</v>
      </c>
      <c r="E73">
        <v>1</v>
      </c>
      <c r="F73" t="s">
        <v>4223</v>
      </c>
      <c r="G73" t="s">
        <v>4224</v>
      </c>
      <c r="H73" t="s">
        <v>4223</v>
      </c>
      <c r="I73" t="str">
        <f>HYPERLINK("https://zfin.org/ZDB-GENE-040718-480")</f>
        <v>https://zfin.org/ZDB-GENE-040718-480</v>
      </c>
      <c r="J73" t="s">
        <v>4222</v>
      </c>
    </row>
    <row r="74" spans="1:10" x14ac:dyDescent="0.2">
      <c r="A74">
        <v>0.135230802048387</v>
      </c>
      <c r="B74">
        <v>-0.32354436234801698</v>
      </c>
      <c r="C74">
        <v>0.35599999999999998</v>
      </c>
      <c r="D74">
        <v>0.39900000000000002</v>
      </c>
      <c r="E74">
        <v>1</v>
      </c>
      <c r="F74" t="s">
        <v>4220</v>
      </c>
      <c r="G74" t="s">
        <v>4221</v>
      </c>
      <c r="H74" t="s">
        <v>4220</v>
      </c>
      <c r="I74" t="str">
        <f>HYPERLINK("https://zfin.org/ZDB-GENE-040426-1374")</f>
        <v>https://zfin.org/ZDB-GENE-040426-1374</v>
      </c>
      <c r="J74" t="s">
        <v>4219</v>
      </c>
    </row>
    <row r="75" spans="1:10" x14ac:dyDescent="0.2">
      <c r="A75">
        <v>0.13615069455117601</v>
      </c>
      <c r="B75">
        <v>-0.27491257681385001</v>
      </c>
      <c r="C75">
        <v>0.13600000000000001</v>
      </c>
      <c r="D75">
        <v>0.218</v>
      </c>
      <c r="E75">
        <v>1</v>
      </c>
      <c r="F75" t="s">
        <v>4217</v>
      </c>
      <c r="G75" t="s">
        <v>4218</v>
      </c>
      <c r="H75" t="s">
        <v>4217</v>
      </c>
      <c r="I75" t="str">
        <f>HYPERLINK("https://zfin.org/ZDB-GENE-040426-873")</f>
        <v>https://zfin.org/ZDB-GENE-040426-873</v>
      </c>
      <c r="J75" t="s">
        <v>4216</v>
      </c>
    </row>
    <row r="76" spans="1:10" x14ac:dyDescent="0.2">
      <c r="A76">
        <v>0.13977325480036201</v>
      </c>
      <c r="B76">
        <v>-0.30071075592404101</v>
      </c>
      <c r="C76">
        <v>8.5000000000000006E-2</v>
      </c>
      <c r="D76">
        <v>0.155</v>
      </c>
      <c r="E76">
        <v>1</v>
      </c>
      <c r="F76" t="s">
        <v>4214</v>
      </c>
      <c r="G76" t="s">
        <v>4215</v>
      </c>
      <c r="H76" t="s">
        <v>4214</v>
      </c>
      <c r="I76" t="str">
        <f>HYPERLINK("https://zfin.org/ZDB-GENE-050522-497")</f>
        <v>https://zfin.org/ZDB-GENE-050522-497</v>
      </c>
      <c r="J76" t="s">
        <v>4213</v>
      </c>
    </row>
    <row r="77" spans="1:10" x14ac:dyDescent="0.2">
      <c r="A77">
        <v>0.14035568448437299</v>
      </c>
      <c r="B77">
        <v>-0.37804656777158901</v>
      </c>
      <c r="C77">
        <v>8.5000000000000006E-2</v>
      </c>
      <c r="D77">
        <v>0.15</v>
      </c>
      <c r="E77">
        <v>1</v>
      </c>
      <c r="F77" t="s">
        <v>4211</v>
      </c>
      <c r="G77" t="s">
        <v>4212</v>
      </c>
      <c r="H77" t="s">
        <v>4211</v>
      </c>
      <c r="I77" t="str">
        <f>HYPERLINK("https://zfin.org/ZDB-GENE-141212-386")</f>
        <v>https://zfin.org/ZDB-GENE-141212-386</v>
      </c>
      <c r="J77" t="s">
        <v>4210</v>
      </c>
    </row>
    <row r="78" spans="1:10" x14ac:dyDescent="0.2">
      <c r="A78">
        <v>0.14672375379969399</v>
      </c>
      <c r="B78">
        <v>-0.30246751556903201</v>
      </c>
      <c r="C78">
        <v>6.8000000000000005E-2</v>
      </c>
      <c r="D78">
        <v>0.13</v>
      </c>
      <c r="E78">
        <v>1</v>
      </c>
      <c r="F78" t="s">
        <v>4208</v>
      </c>
      <c r="G78" t="s">
        <v>4209</v>
      </c>
      <c r="H78" t="s">
        <v>4208</v>
      </c>
      <c r="I78" t="str">
        <f>HYPERLINK("https://zfin.org/ZDB-GENE-050417-354")</f>
        <v>https://zfin.org/ZDB-GENE-050417-354</v>
      </c>
      <c r="J78" t="s">
        <v>4207</v>
      </c>
    </row>
    <row r="79" spans="1:10" x14ac:dyDescent="0.2">
      <c r="A79">
        <v>0.14740493855029499</v>
      </c>
      <c r="B79">
        <v>-0.27279470205689799</v>
      </c>
      <c r="C79">
        <v>6.8000000000000005E-2</v>
      </c>
      <c r="D79">
        <v>0.14000000000000001</v>
      </c>
      <c r="E79">
        <v>1</v>
      </c>
      <c r="F79" t="s">
        <v>4205</v>
      </c>
      <c r="G79" t="s">
        <v>4206</v>
      </c>
      <c r="H79" t="s">
        <v>4205</v>
      </c>
      <c r="I79" t="str">
        <f>HYPERLINK("https://zfin.org/ZDB-GENE-060810-163")</f>
        <v>https://zfin.org/ZDB-GENE-060810-163</v>
      </c>
      <c r="J79" t="s">
        <v>4204</v>
      </c>
    </row>
    <row r="80" spans="1:10" x14ac:dyDescent="0.2">
      <c r="A80">
        <v>0.14781077726960701</v>
      </c>
      <c r="B80">
        <v>-0.289065575508267</v>
      </c>
      <c r="C80">
        <v>0.16900000000000001</v>
      </c>
      <c r="D80">
        <v>0.24399999999999999</v>
      </c>
      <c r="E80">
        <v>1</v>
      </c>
      <c r="F80" t="s">
        <v>4202</v>
      </c>
      <c r="G80" t="s">
        <v>4203</v>
      </c>
      <c r="H80" t="s">
        <v>4202</v>
      </c>
      <c r="I80" t="str">
        <f>HYPERLINK("https://zfin.org/ZDB-GENE-040930-1")</f>
        <v>https://zfin.org/ZDB-GENE-040930-1</v>
      </c>
      <c r="J80" t="s">
        <v>4201</v>
      </c>
    </row>
    <row r="81" spans="1:10" x14ac:dyDescent="0.2">
      <c r="A81">
        <v>0.14804405002113799</v>
      </c>
      <c r="B81">
        <v>-0.38977044565914898</v>
      </c>
      <c r="C81">
        <v>0.28799999999999998</v>
      </c>
      <c r="D81">
        <v>0.33700000000000002</v>
      </c>
      <c r="E81">
        <v>1</v>
      </c>
      <c r="F81" t="s">
        <v>3477</v>
      </c>
      <c r="G81" t="s">
        <v>3478</v>
      </c>
      <c r="H81" t="s">
        <v>3477</v>
      </c>
      <c r="I81" t="str">
        <f>HYPERLINK("https://zfin.org/ZDB-GENE-980526-527")</f>
        <v>https://zfin.org/ZDB-GENE-980526-527</v>
      </c>
      <c r="J81" t="s">
        <v>3476</v>
      </c>
    </row>
    <row r="82" spans="1:10" x14ac:dyDescent="0.2">
      <c r="A82">
        <v>0.149686779239428</v>
      </c>
      <c r="B82">
        <v>-0.26779367085333</v>
      </c>
      <c r="C82">
        <v>0.52500000000000002</v>
      </c>
      <c r="D82">
        <v>0.54900000000000004</v>
      </c>
      <c r="E82">
        <v>1</v>
      </c>
      <c r="F82" t="s">
        <v>252</v>
      </c>
      <c r="G82" t="s">
        <v>253</v>
      </c>
      <c r="H82" t="s">
        <v>252</v>
      </c>
      <c r="I82" t="str">
        <f>HYPERLINK("https://zfin.org/ZDB-GENE-110411-217")</f>
        <v>https://zfin.org/ZDB-GENE-110411-217</v>
      </c>
      <c r="J82" t="s">
        <v>254</v>
      </c>
    </row>
    <row r="83" spans="1:10" x14ac:dyDescent="0.2">
      <c r="A83">
        <v>0.150234073753507</v>
      </c>
      <c r="B83">
        <v>-0.38719981334523101</v>
      </c>
      <c r="C83">
        <v>0.11899999999999999</v>
      </c>
      <c r="D83">
        <v>0.187</v>
      </c>
      <c r="E83">
        <v>1</v>
      </c>
      <c r="F83" t="s">
        <v>3835</v>
      </c>
      <c r="G83" t="s">
        <v>3836</v>
      </c>
      <c r="H83" t="s">
        <v>3835</v>
      </c>
      <c r="I83" t="str">
        <f>HYPERLINK("https://zfin.org/ZDB-GENE-030131-5134")</f>
        <v>https://zfin.org/ZDB-GENE-030131-5134</v>
      </c>
      <c r="J83" t="s">
        <v>3834</v>
      </c>
    </row>
    <row r="84" spans="1:10" x14ac:dyDescent="0.2">
      <c r="A84">
        <v>0.15581486112513299</v>
      </c>
      <c r="B84">
        <v>-0.28587459799182602</v>
      </c>
      <c r="C84">
        <v>0.13600000000000001</v>
      </c>
      <c r="D84">
        <v>0.20699999999999999</v>
      </c>
      <c r="E84">
        <v>1</v>
      </c>
      <c r="F84" t="s">
        <v>4199</v>
      </c>
      <c r="G84" t="s">
        <v>4200</v>
      </c>
      <c r="H84" t="s">
        <v>4199</v>
      </c>
      <c r="I84" t="str">
        <f>HYPERLINK("https://zfin.org/ZDB-GENE-040718-457")</f>
        <v>https://zfin.org/ZDB-GENE-040718-457</v>
      </c>
      <c r="J84" t="s">
        <v>4198</v>
      </c>
    </row>
    <row r="85" spans="1:10" x14ac:dyDescent="0.2">
      <c r="A85">
        <v>0.156763867390774</v>
      </c>
      <c r="B85">
        <v>-0.254766006183065</v>
      </c>
      <c r="C85">
        <v>8.5000000000000006E-2</v>
      </c>
      <c r="D85">
        <v>0.15</v>
      </c>
      <c r="E85">
        <v>1</v>
      </c>
      <c r="F85" t="s">
        <v>4196</v>
      </c>
      <c r="G85" t="s">
        <v>4197</v>
      </c>
      <c r="H85" t="s">
        <v>4196</v>
      </c>
      <c r="I85" t="str">
        <f>HYPERLINK("https://zfin.org/ZDB-GENE-080220-20")</f>
        <v>https://zfin.org/ZDB-GENE-080220-20</v>
      </c>
      <c r="J85" t="s">
        <v>4195</v>
      </c>
    </row>
    <row r="86" spans="1:10" x14ac:dyDescent="0.2">
      <c r="A86">
        <v>0.15758935616466599</v>
      </c>
      <c r="B86">
        <v>-0.26352301545198198</v>
      </c>
      <c r="C86">
        <v>0.186</v>
      </c>
      <c r="D86">
        <v>0.26900000000000002</v>
      </c>
      <c r="E86">
        <v>1</v>
      </c>
      <c r="F86" t="s">
        <v>3599</v>
      </c>
      <c r="G86" t="s">
        <v>3600</v>
      </c>
      <c r="H86" t="s">
        <v>3599</v>
      </c>
      <c r="I86" t="str">
        <f>HYPERLINK("https://zfin.org/ZDB-GENE-050506-118")</f>
        <v>https://zfin.org/ZDB-GENE-050506-118</v>
      </c>
      <c r="J86" t="s">
        <v>3598</v>
      </c>
    </row>
    <row r="87" spans="1:10" x14ac:dyDescent="0.2">
      <c r="A87">
        <v>0.164703199876816</v>
      </c>
      <c r="B87">
        <v>-0.26864110741976799</v>
      </c>
      <c r="C87">
        <v>0.49199999999999999</v>
      </c>
      <c r="D87">
        <v>0.52300000000000002</v>
      </c>
      <c r="E87">
        <v>1</v>
      </c>
      <c r="F87" t="s">
        <v>4193</v>
      </c>
      <c r="G87" t="s">
        <v>4194</v>
      </c>
      <c r="H87" t="s">
        <v>4193</v>
      </c>
      <c r="I87" t="str">
        <f>HYPERLINK("https://zfin.org/ZDB-GENE-050506-95")</f>
        <v>https://zfin.org/ZDB-GENE-050506-95</v>
      </c>
      <c r="J87" t="s">
        <v>4192</v>
      </c>
    </row>
    <row r="88" spans="1:10" x14ac:dyDescent="0.2">
      <c r="A88">
        <v>0.168970510652381</v>
      </c>
      <c r="B88">
        <v>-0.27810450278287802</v>
      </c>
      <c r="C88">
        <v>0.50800000000000001</v>
      </c>
      <c r="D88">
        <v>0.53400000000000003</v>
      </c>
      <c r="E88">
        <v>1</v>
      </c>
      <c r="F88" t="s">
        <v>1533</v>
      </c>
      <c r="G88" t="s">
        <v>1534</v>
      </c>
      <c r="H88" t="s">
        <v>1533</v>
      </c>
      <c r="I88" t="str">
        <f>HYPERLINK("https://zfin.org/ZDB-GENE-020731-5")</f>
        <v>https://zfin.org/ZDB-GENE-020731-5</v>
      </c>
      <c r="J88" t="s">
        <v>1532</v>
      </c>
    </row>
    <row r="89" spans="1:10" x14ac:dyDescent="0.2">
      <c r="A89">
        <v>0.169217729625182</v>
      </c>
      <c r="B89">
        <v>-0.31349868774475798</v>
      </c>
      <c r="C89">
        <v>6.8000000000000005E-2</v>
      </c>
      <c r="D89">
        <v>0.124</v>
      </c>
      <c r="E89">
        <v>1</v>
      </c>
      <c r="F89" t="s">
        <v>4190</v>
      </c>
      <c r="G89" t="s">
        <v>4191</v>
      </c>
      <c r="H89" t="s">
        <v>4190</v>
      </c>
      <c r="I89" t="str">
        <f>HYPERLINK("https://zfin.org/ZDB-GENE-041212-82")</f>
        <v>https://zfin.org/ZDB-GENE-041212-82</v>
      </c>
      <c r="J89" t="s">
        <v>4189</v>
      </c>
    </row>
    <row r="90" spans="1:10" x14ac:dyDescent="0.2">
      <c r="A90">
        <v>0.170470616652492</v>
      </c>
      <c r="B90">
        <v>-0.25054155210701901</v>
      </c>
      <c r="C90">
        <v>0.16900000000000001</v>
      </c>
      <c r="D90">
        <v>0.24399999999999999</v>
      </c>
      <c r="E90">
        <v>1</v>
      </c>
      <c r="F90" t="s">
        <v>4187</v>
      </c>
      <c r="G90" t="s">
        <v>4188</v>
      </c>
      <c r="H90" t="s">
        <v>4187</v>
      </c>
      <c r="I90" t="str">
        <f>HYPERLINK("https://zfin.org/ZDB-GENE-040704-17")</f>
        <v>https://zfin.org/ZDB-GENE-040704-17</v>
      </c>
      <c r="J90" t="s">
        <v>4186</v>
      </c>
    </row>
    <row r="91" spans="1:10" x14ac:dyDescent="0.2">
      <c r="A91">
        <v>0.172364796202856</v>
      </c>
      <c r="B91">
        <v>-0.31177281230406401</v>
      </c>
      <c r="C91">
        <v>0.11899999999999999</v>
      </c>
      <c r="D91">
        <v>0.18099999999999999</v>
      </c>
      <c r="E91">
        <v>1</v>
      </c>
      <c r="F91" t="s">
        <v>4184</v>
      </c>
      <c r="G91" t="s">
        <v>4185</v>
      </c>
      <c r="H91" t="s">
        <v>4184</v>
      </c>
      <c r="I91" t="str">
        <f>HYPERLINK("https://zfin.org/ZDB-GENE-030131-921")</f>
        <v>https://zfin.org/ZDB-GENE-030131-921</v>
      </c>
      <c r="J91" t="s">
        <v>4183</v>
      </c>
    </row>
    <row r="92" spans="1:10" x14ac:dyDescent="0.2">
      <c r="A92">
        <v>0.17509342837156799</v>
      </c>
      <c r="B92">
        <v>-0.29038384706299603</v>
      </c>
      <c r="C92">
        <v>6.8000000000000005E-2</v>
      </c>
      <c r="D92">
        <v>0.124</v>
      </c>
      <c r="E92">
        <v>1</v>
      </c>
      <c r="F92" t="s">
        <v>4181</v>
      </c>
      <c r="G92" t="s">
        <v>4182</v>
      </c>
      <c r="H92" t="s">
        <v>4181</v>
      </c>
      <c r="I92" t="str">
        <f>HYPERLINK("https://zfin.org/ZDB-GENE-030131-9076")</f>
        <v>https://zfin.org/ZDB-GENE-030131-9076</v>
      </c>
      <c r="J92" t="s">
        <v>4180</v>
      </c>
    </row>
    <row r="93" spans="1:10" x14ac:dyDescent="0.2">
      <c r="A93">
        <v>0.17783072474178199</v>
      </c>
      <c r="B93">
        <v>-0.39747847252618201</v>
      </c>
      <c r="C93">
        <v>0.33900000000000002</v>
      </c>
      <c r="D93">
        <v>0.373</v>
      </c>
      <c r="E93">
        <v>1</v>
      </c>
      <c r="F93" t="s">
        <v>4178</v>
      </c>
      <c r="G93" t="s">
        <v>4179</v>
      </c>
      <c r="H93" t="s">
        <v>4178</v>
      </c>
      <c r="I93" t="str">
        <f>HYPERLINK("https://zfin.org/ZDB-GENE-030131-4489")</f>
        <v>https://zfin.org/ZDB-GENE-030131-4489</v>
      </c>
      <c r="J93" t="s">
        <v>4177</v>
      </c>
    </row>
    <row r="94" spans="1:10" x14ac:dyDescent="0.2">
      <c r="A94">
        <v>0.181217890080515</v>
      </c>
      <c r="B94">
        <v>-0.30122031363973201</v>
      </c>
      <c r="C94">
        <v>0.11899999999999999</v>
      </c>
      <c r="D94">
        <v>0.17599999999999999</v>
      </c>
      <c r="E94">
        <v>1</v>
      </c>
      <c r="F94" t="s">
        <v>4175</v>
      </c>
      <c r="G94" t="s">
        <v>4176</v>
      </c>
      <c r="H94" t="s">
        <v>4175</v>
      </c>
      <c r="I94" t="str">
        <f>HYPERLINK("https://zfin.org/ZDB-GENE-040905-1")</f>
        <v>https://zfin.org/ZDB-GENE-040905-1</v>
      </c>
      <c r="J94" t="s">
        <v>4174</v>
      </c>
    </row>
    <row r="95" spans="1:10" x14ac:dyDescent="0.2">
      <c r="A95">
        <v>0.181398038109816</v>
      </c>
      <c r="B95">
        <v>-0.303505501559729</v>
      </c>
      <c r="C95">
        <v>0.16900000000000001</v>
      </c>
      <c r="D95">
        <v>0.23799999999999999</v>
      </c>
      <c r="E95">
        <v>1</v>
      </c>
      <c r="F95" t="s">
        <v>4172</v>
      </c>
      <c r="G95" t="s">
        <v>4173</v>
      </c>
      <c r="H95" t="s">
        <v>4172</v>
      </c>
      <c r="I95" t="str">
        <f>HYPERLINK("https://zfin.org/ZDB-GENE-040426-1004")</f>
        <v>https://zfin.org/ZDB-GENE-040426-1004</v>
      </c>
      <c r="J95" t="s">
        <v>4171</v>
      </c>
    </row>
    <row r="96" spans="1:10" x14ac:dyDescent="0.2">
      <c r="A96">
        <v>0.18515177626415999</v>
      </c>
      <c r="B96">
        <v>-0.29065481250793501</v>
      </c>
      <c r="C96">
        <v>0.57599999999999996</v>
      </c>
      <c r="D96">
        <v>0.60599999999999998</v>
      </c>
      <c r="E96">
        <v>1</v>
      </c>
      <c r="F96" t="s">
        <v>165</v>
      </c>
      <c r="G96" t="s">
        <v>166</v>
      </c>
      <c r="H96" t="s">
        <v>165</v>
      </c>
      <c r="I96" t="str">
        <f>HYPERLINK("https://zfin.org/ZDB-GENE-030131-4678")</f>
        <v>https://zfin.org/ZDB-GENE-030131-4678</v>
      </c>
      <c r="J96" t="s">
        <v>167</v>
      </c>
    </row>
    <row r="97" spans="1:10" x14ac:dyDescent="0.2">
      <c r="A97">
        <v>0.18623718150902399</v>
      </c>
      <c r="B97">
        <v>-0.30134764524760999</v>
      </c>
      <c r="C97">
        <v>0.153</v>
      </c>
      <c r="D97">
        <v>0.223</v>
      </c>
      <c r="E97">
        <v>1</v>
      </c>
      <c r="F97" t="s">
        <v>4169</v>
      </c>
      <c r="G97" t="s">
        <v>4170</v>
      </c>
      <c r="H97" t="s">
        <v>4169</v>
      </c>
      <c r="I97" t="str">
        <f>HYPERLINK("https://zfin.org/ZDB-GENE-060810-180")</f>
        <v>https://zfin.org/ZDB-GENE-060810-180</v>
      </c>
      <c r="J97" t="s">
        <v>4168</v>
      </c>
    </row>
    <row r="98" spans="1:10" x14ac:dyDescent="0.2">
      <c r="A98">
        <v>0.191475658217682</v>
      </c>
      <c r="B98">
        <v>-0.31576566540935902</v>
      </c>
      <c r="C98">
        <v>0.10199999999999999</v>
      </c>
      <c r="D98">
        <v>0.161</v>
      </c>
      <c r="E98">
        <v>1</v>
      </c>
      <c r="F98" t="s">
        <v>4166</v>
      </c>
      <c r="G98" t="s">
        <v>4167</v>
      </c>
      <c r="H98" t="s">
        <v>4166</v>
      </c>
      <c r="I98" t="str">
        <f>HYPERLINK("https://zfin.org/ZDB-GENE-040426-1689")</f>
        <v>https://zfin.org/ZDB-GENE-040426-1689</v>
      </c>
      <c r="J98" t="s">
        <v>4165</v>
      </c>
    </row>
    <row r="99" spans="1:10" x14ac:dyDescent="0.2">
      <c r="A99">
        <v>0.19349736257896799</v>
      </c>
      <c r="B99">
        <v>-0.25793503934342399</v>
      </c>
      <c r="C99">
        <v>0.10199999999999999</v>
      </c>
      <c r="D99">
        <v>0.17100000000000001</v>
      </c>
      <c r="E99">
        <v>1</v>
      </c>
      <c r="F99" t="s">
        <v>1689</v>
      </c>
      <c r="G99" t="s">
        <v>1690</v>
      </c>
      <c r="H99" t="s">
        <v>1689</v>
      </c>
      <c r="I99" t="str">
        <f>HYPERLINK("https://zfin.org/ZDB-GENE-040426-925")</f>
        <v>https://zfin.org/ZDB-GENE-040426-925</v>
      </c>
      <c r="J99" t="s">
        <v>1688</v>
      </c>
    </row>
    <row r="100" spans="1:10" x14ac:dyDescent="0.2">
      <c r="A100">
        <v>0.19701136104894401</v>
      </c>
      <c r="B100">
        <v>-0.26073516995898199</v>
      </c>
      <c r="C100">
        <v>0.13600000000000001</v>
      </c>
      <c r="D100">
        <v>0.20200000000000001</v>
      </c>
      <c r="E100">
        <v>1</v>
      </c>
      <c r="F100" t="s">
        <v>4163</v>
      </c>
      <c r="G100" t="s">
        <v>4164</v>
      </c>
      <c r="H100" t="s">
        <v>4163</v>
      </c>
      <c r="I100" t="str">
        <f>HYPERLINK("https://zfin.org/ZDB-GENE-050522-310")</f>
        <v>https://zfin.org/ZDB-GENE-050522-310</v>
      </c>
      <c r="J100" t="s">
        <v>4162</v>
      </c>
    </row>
    <row r="101" spans="1:10" x14ac:dyDescent="0.2">
      <c r="A101">
        <v>0.20148799948225299</v>
      </c>
      <c r="B101">
        <v>-0.27416669529619803</v>
      </c>
      <c r="C101">
        <v>6.8000000000000005E-2</v>
      </c>
      <c r="D101">
        <v>0.11899999999999999</v>
      </c>
      <c r="E101">
        <v>1</v>
      </c>
      <c r="F101" t="s">
        <v>754</v>
      </c>
      <c r="G101" t="s">
        <v>755</v>
      </c>
      <c r="H101" t="s">
        <v>754</v>
      </c>
      <c r="I101" t="str">
        <f>HYPERLINK("https://zfin.org/ZDB-GENE-030131-7447")</f>
        <v>https://zfin.org/ZDB-GENE-030131-7447</v>
      </c>
      <c r="J101" t="s">
        <v>753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070FE-6558-844C-A91D-328E9EFC9CAD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9.7915667662116296E-95</v>
      </c>
      <c r="B2">
        <v>-2.2693007535373799</v>
      </c>
      <c r="C2">
        <v>1</v>
      </c>
      <c r="D2">
        <v>1</v>
      </c>
      <c r="E2">
        <v>1.5160282824125499E-90</v>
      </c>
      <c r="F2" t="s">
        <v>10</v>
      </c>
      <c r="G2" t="s">
        <v>11</v>
      </c>
      <c r="H2" t="s">
        <v>10</v>
      </c>
      <c r="I2" t="str">
        <f>HYPERLINK("https://zfin.org/ZDB-GENE-080225-18")</f>
        <v>https://zfin.org/ZDB-GENE-080225-18</v>
      </c>
      <c r="J2" t="s">
        <v>12</v>
      </c>
    </row>
    <row r="3" spans="1:10" x14ac:dyDescent="0.2">
      <c r="A3">
        <v>4.1099475813121002E-94</v>
      </c>
      <c r="B3">
        <v>-2.0833129640581198</v>
      </c>
      <c r="C3">
        <v>1</v>
      </c>
      <c r="D3">
        <v>1</v>
      </c>
      <c r="E3">
        <v>6.3634318401455304E-90</v>
      </c>
      <c r="F3" t="s">
        <v>13</v>
      </c>
      <c r="G3" t="s">
        <v>14</v>
      </c>
      <c r="H3" t="s">
        <v>13</v>
      </c>
      <c r="I3" t="str">
        <f>HYPERLINK("https://zfin.org/ZDB-GENE-130603-61")</f>
        <v>https://zfin.org/ZDB-GENE-130603-61</v>
      </c>
      <c r="J3" t="s">
        <v>15</v>
      </c>
    </row>
    <row r="4" spans="1:10" x14ac:dyDescent="0.2">
      <c r="A4">
        <v>8.6375224286444695E-94</v>
      </c>
      <c r="B4">
        <v>-2.0380882900002102</v>
      </c>
      <c r="C4">
        <v>0.96</v>
      </c>
      <c r="D4">
        <v>0.996</v>
      </c>
      <c r="E4">
        <v>1.3373475976270201E-89</v>
      </c>
      <c r="F4" t="s">
        <v>16</v>
      </c>
      <c r="G4" t="s">
        <v>17</v>
      </c>
      <c r="H4" t="s">
        <v>16</v>
      </c>
      <c r="I4" t="str">
        <f>HYPERLINK("https://zfin.org/ZDB-GENE-061201-9")</f>
        <v>https://zfin.org/ZDB-GENE-061201-9</v>
      </c>
      <c r="J4" t="s">
        <v>18</v>
      </c>
    </row>
    <row r="5" spans="1:10" x14ac:dyDescent="0.2">
      <c r="A5">
        <v>6.0219137385355704E-90</v>
      </c>
      <c r="B5">
        <v>-1.8790102258332699</v>
      </c>
      <c r="C5">
        <v>0.95399999999999996</v>
      </c>
      <c r="D5">
        <v>0.995</v>
      </c>
      <c r="E5">
        <v>9.3237290413746293E-86</v>
      </c>
      <c r="F5" t="s">
        <v>19</v>
      </c>
      <c r="G5" t="s">
        <v>20</v>
      </c>
      <c r="H5" t="s">
        <v>19</v>
      </c>
      <c r="I5" t="str">
        <f>HYPERLINK("https://zfin.org/ZDB-GENE-010328-2")</f>
        <v>https://zfin.org/ZDB-GENE-010328-2</v>
      </c>
      <c r="J5" t="s">
        <v>21</v>
      </c>
    </row>
    <row r="6" spans="1:10" x14ac:dyDescent="0.2">
      <c r="A6">
        <v>4.18561470667927E-83</v>
      </c>
      <c r="B6">
        <v>-1.2825583824378599</v>
      </c>
      <c r="C6">
        <v>1</v>
      </c>
      <c r="D6">
        <v>1</v>
      </c>
      <c r="E6">
        <v>6.4805872503515098E-79</v>
      </c>
      <c r="F6" t="s">
        <v>22</v>
      </c>
      <c r="G6" t="s">
        <v>23</v>
      </c>
      <c r="H6" t="s">
        <v>22</v>
      </c>
      <c r="I6" t="str">
        <f>HYPERLINK("https://zfin.org/ZDB-GENE-141216-248")</f>
        <v>https://zfin.org/ZDB-GENE-141216-248</v>
      </c>
      <c r="J6" t="s">
        <v>24</v>
      </c>
    </row>
    <row r="7" spans="1:10" x14ac:dyDescent="0.2">
      <c r="A7">
        <v>3.19082771638262E-82</v>
      </c>
      <c r="B7">
        <v>-1.3949801959910899</v>
      </c>
      <c r="C7">
        <v>0.97099999999999997</v>
      </c>
      <c r="D7">
        <v>0.99399999999999999</v>
      </c>
      <c r="E7">
        <v>4.9403585532752099E-78</v>
      </c>
      <c r="F7" t="s">
        <v>25</v>
      </c>
      <c r="G7" t="s">
        <v>26</v>
      </c>
      <c r="H7" t="s">
        <v>25</v>
      </c>
      <c r="I7" t="str">
        <f>HYPERLINK("https://zfin.org/ZDB-GENE-040426-2209")</f>
        <v>https://zfin.org/ZDB-GENE-040426-2209</v>
      </c>
      <c r="J7" t="s">
        <v>27</v>
      </c>
    </row>
    <row r="8" spans="1:10" x14ac:dyDescent="0.2">
      <c r="A8">
        <v>2.27918196305377E-75</v>
      </c>
      <c r="B8">
        <v>-1.6022804300790701</v>
      </c>
      <c r="C8">
        <v>0.79900000000000004</v>
      </c>
      <c r="D8">
        <v>0.95599999999999996</v>
      </c>
      <c r="E8">
        <v>3.5288574333961499E-71</v>
      </c>
      <c r="F8" t="s">
        <v>28</v>
      </c>
      <c r="G8" t="s">
        <v>29</v>
      </c>
      <c r="H8" t="s">
        <v>28</v>
      </c>
      <c r="I8" t="str">
        <f>HYPERLINK("https://zfin.org/ZDB-GENE-011210-2")</f>
        <v>https://zfin.org/ZDB-GENE-011210-2</v>
      </c>
      <c r="J8" t="s">
        <v>30</v>
      </c>
    </row>
    <row r="9" spans="1:10" x14ac:dyDescent="0.2">
      <c r="A9">
        <v>9.0757299093425607E-75</v>
      </c>
      <c r="B9">
        <v>-2.0956762971437199</v>
      </c>
      <c r="C9">
        <v>0.42499999999999999</v>
      </c>
      <c r="D9">
        <v>0.90700000000000003</v>
      </c>
      <c r="E9">
        <v>1.4051952618635099E-70</v>
      </c>
      <c r="F9" t="s">
        <v>31</v>
      </c>
      <c r="G9" t="s">
        <v>32</v>
      </c>
      <c r="H9" t="s">
        <v>31</v>
      </c>
      <c r="I9" t="str">
        <f>HYPERLINK("https://zfin.org/ZDB-GENE-060316-3")</f>
        <v>https://zfin.org/ZDB-GENE-060316-3</v>
      </c>
      <c r="J9" t="s">
        <v>33</v>
      </c>
    </row>
    <row r="10" spans="1:10" x14ac:dyDescent="0.2">
      <c r="A10">
        <v>2.68764674889824E-74</v>
      </c>
      <c r="B10">
        <v>-2.1446581360274699</v>
      </c>
      <c r="C10">
        <v>0.60899999999999999</v>
      </c>
      <c r="D10">
        <v>0.93100000000000005</v>
      </c>
      <c r="E10">
        <v>4.16128346131914E-70</v>
      </c>
      <c r="F10" t="s">
        <v>34</v>
      </c>
      <c r="G10" t="s">
        <v>35</v>
      </c>
      <c r="H10" t="s">
        <v>34</v>
      </c>
      <c r="I10" t="str">
        <f>HYPERLINK("https://zfin.org/ZDB-GENE-030131-3532")</f>
        <v>https://zfin.org/ZDB-GENE-030131-3532</v>
      </c>
      <c r="J10" t="s">
        <v>36</v>
      </c>
    </row>
    <row r="11" spans="1:10" x14ac:dyDescent="0.2">
      <c r="A11">
        <v>2.11193682749166E-72</v>
      </c>
      <c r="B11">
        <v>-2.0367133685844601</v>
      </c>
      <c r="C11">
        <v>0.57999999999999996</v>
      </c>
      <c r="D11">
        <v>0.91800000000000004</v>
      </c>
      <c r="E11">
        <v>3.2699117900053302E-68</v>
      </c>
      <c r="F11" t="s">
        <v>37</v>
      </c>
      <c r="G11" t="s">
        <v>38</v>
      </c>
      <c r="H11" t="s">
        <v>37</v>
      </c>
      <c r="I11" t="str">
        <f>HYPERLINK("https://zfin.org/ZDB-GENE-110411-160")</f>
        <v>https://zfin.org/ZDB-GENE-110411-160</v>
      </c>
      <c r="J11" t="s">
        <v>39</v>
      </c>
    </row>
    <row r="12" spans="1:10" x14ac:dyDescent="0.2">
      <c r="A12">
        <v>4.3063268771020099E-69</v>
      </c>
      <c r="B12">
        <v>-1.5965025308849901</v>
      </c>
      <c r="C12">
        <v>0.83899999999999997</v>
      </c>
      <c r="D12">
        <v>0.95099999999999996</v>
      </c>
      <c r="E12">
        <v>6.6674859038170404E-65</v>
      </c>
      <c r="F12" t="s">
        <v>40</v>
      </c>
      <c r="G12" t="s">
        <v>41</v>
      </c>
      <c r="H12" t="s">
        <v>40</v>
      </c>
      <c r="I12" t="str">
        <f>HYPERLINK("https://zfin.org/ZDB-GENE-030131-1819")</f>
        <v>https://zfin.org/ZDB-GENE-030131-1819</v>
      </c>
      <c r="J12" t="s">
        <v>42</v>
      </c>
    </row>
    <row r="13" spans="1:10" x14ac:dyDescent="0.2">
      <c r="A13">
        <v>2.8089338566813101E-68</v>
      </c>
      <c r="B13">
        <v>-1.63014627583229</v>
      </c>
      <c r="C13">
        <v>0.76400000000000001</v>
      </c>
      <c r="D13">
        <v>0.93799999999999994</v>
      </c>
      <c r="E13">
        <v>4.34907229029967E-64</v>
      </c>
      <c r="F13" t="s">
        <v>43</v>
      </c>
      <c r="G13" t="s">
        <v>44</v>
      </c>
      <c r="H13" t="s">
        <v>43</v>
      </c>
      <c r="I13" t="str">
        <f>HYPERLINK("https://zfin.org/ZDB-GENE-040426-2172")</f>
        <v>https://zfin.org/ZDB-GENE-040426-2172</v>
      </c>
      <c r="J13" t="s">
        <v>45</v>
      </c>
    </row>
    <row r="14" spans="1:10" x14ac:dyDescent="0.2">
      <c r="A14">
        <v>5.7505263557247501E-68</v>
      </c>
      <c r="B14">
        <v>-1.8827274360116999</v>
      </c>
      <c r="C14">
        <v>0.56299999999999994</v>
      </c>
      <c r="D14">
        <v>0.91100000000000003</v>
      </c>
      <c r="E14">
        <v>8.9035399565686299E-64</v>
      </c>
      <c r="F14" t="s">
        <v>46</v>
      </c>
      <c r="G14" t="s">
        <v>47</v>
      </c>
      <c r="H14" t="s">
        <v>46</v>
      </c>
      <c r="I14" t="str">
        <f>HYPERLINK("https://zfin.org/ZDB-GENE-060503-431")</f>
        <v>https://zfin.org/ZDB-GENE-060503-431</v>
      </c>
      <c r="J14" t="s">
        <v>48</v>
      </c>
    </row>
    <row r="15" spans="1:10" x14ac:dyDescent="0.2">
      <c r="A15">
        <v>1.40160977560514E-67</v>
      </c>
      <c r="B15">
        <v>-1.87405061740528</v>
      </c>
      <c r="C15">
        <v>0.626</v>
      </c>
      <c r="D15">
        <v>0.90700000000000003</v>
      </c>
      <c r="E15">
        <v>2.17011241556944E-63</v>
      </c>
      <c r="F15" t="s">
        <v>49</v>
      </c>
      <c r="G15" t="s">
        <v>50</v>
      </c>
      <c r="H15" t="s">
        <v>49</v>
      </c>
      <c r="I15" t="str">
        <f>HYPERLINK("https://zfin.org/ZDB-GENE-031002-9")</f>
        <v>https://zfin.org/ZDB-GENE-031002-9</v>
      </c>
      <c r="J15" t="s">
        <v>51</v>
      </c>
    </row>
    <row r="16" spans="1:10" x14ac:dyDescent="0.2">
      <c r="A16">
        <v>3.8172005133464803E-67</v>
      </c>
      <c r="B16">
        <v>-2.1932431483232802</v>
      </c>
      <c r="C16">
        <v>0.80500000000000005</v>
      </c>
      <c r="D16">
        <v>0.94099999999999995</v>
      </c>
      <c r="E16">
        <v>5.9101715548143595E-63</v>
      </c>
      <c r="F16" t="s">
        <v>52</v>
      </c>
      <c r="G16" t="s">
        <v>53</v>
      </c>
      <c r="H16" t="s">
        <v>52</v>
      </c>
      <c r="I16" t="str">
        <f>HYPERLINK("https://zfin.org/ZDB-GENE-040426-1508")</f>
        <v>https://zfin.org/ZDB-GENE-040426-1508</v>
      </c>
      <c r="J16" t="s">
        <v>54</v>
      </c>
    </row>
    <row r="17" spans="1:10" x14ac:dyDescent="0.2">
      <c r="A17">
        <v>1.64305350936352E-65</v>
      </c>
      <c r="B17">
        <v>-1.89482823785009</v>
      </c>
      <c r="C17">
        <v>0.46</v>
      </c>
      <c r="D17">
        <v>0.875</v>
      </c>
      <c r="E17">
        <v>2.54393974854754E-61</v>
      </c>
      <c r="F17" t="s">
        <v>55</v>
      </c>
      <c r="G17" t="s">
        <v>56</v>
      </c>
      <c r="H17" t="s">
        <v>55</v>
      </c>
      <c r="I17" t="str">
        <f>HYPERLINK("https://zfin.org/ZDB-GENE-030131-2391")</f>
        <v>https://zfin.org/ZDB-GENE-030131-2391</v>
      </c>
      <c r="J17" t="s">
        <v>57</v>
      </c>
    </row>
    <row r="18" spans="1:10" x14ac:dyDescent="0.2">
      <c r="A18">
        <v>1.47435666316905E-60</v>
      </c>
      <c r="B18">
        <v>-1.6653796281792099</v>
      </c>
      <c r="C18">
        <v>0.51700000000000002</v>
      </c>
      <c r="D18">
        <v>0.85799999999999998</v>
      </c>
      <c r="E18">
        <v>2.2827464215846401E-56</v>
      </c>
      <c r="F18" t="s">
        <v>58</v>
      </c>
      <c r="G18" t="s">
        <v>59</v>
      </c>
      <c r="H18" t="s">
        <v>58</v>
      </c>
      <c r="I18" t="str">
        <f>HYPERLINK("https://zfin.org/ZDB-GENE-040426-2768")</f>
        <v>https://zfin.org/ZDB-GENE-040426-2768</v>
      </c>
      <c r="J18" t="s">
        <v>60</v>
      </c>
    </row>
    <row r="19" spans="1:10" x14ac:dyDescent="0.2">
      <c r="A19">
        <v>8.0102413230594098E-57</v>
      </c>
      <c r="B19">
        <v>-1.4088483857958001</v>
      </c>
      <c r="C19">
        <v>0.64900000000000002</v>
      </c>
      <c r="D19">
        <v>0.89400000000000002</v>
      </c>
      <c r="E19">
        <v>1.24022566404929E-52</v>
      </c>
      <c r="F19" t="s">
        <v>61</v>
      </c>
      <c r="G19" t="s">
        <v>62</v>
      </c>
      <c r="H19" t="s">
        <v>61</v>
      </c>
      <c r="I19" t="str">
        <f>HYPERLINK("https://zfin.org/ZDB-GENE-010726-1")</f>
        <v>https://zfin.org/ZDB-GENE-010726-1</v>
      </c>
      <c r="J19" t="s">
        <v>63</v>
      </c>
    </row>
    <row r="20" spans="1:10" x14ac:dyDescent="0.2">
      <c r="A20">
        <v>8.0483202932992697E-57</v>
      </c>
      <c r="B20">
        <v>-1.7756435879805501</v>
      </c>
      <c r="C20">
        <v>0.68400000000000005</v>
      </c>
      <c r="D20">
        <v>0.88600000000000001</v>
      </c>
      <c r="E20">
        <v>1.24612143101153E-52</v>
      </c>
      <c r="F20" t="s">
        <v>64</v>
      </c>
      <c r="G20" t="s">
        <v>65</v>
      </c>
      <c r="H20" t="s">
        <v>64</v>
      </c>
      <c r="I20" t="str">
        <f>HYPERLINK("https://zfin.org/ZDB-GENE-030131-8304")</f>
        <v>https://zfin.org/ZDB-GENE-030131-8304</v>
      </c>
      <c r="J20" t="s">
        <v>66</v>
      </c>
    </row>
    <row r="21" spans="1:10" x14ac:dyDescent="0.2">
      <c r="A21">
        <v>7.4332886550541602E-56</v>
      </c>
      <c r="B21">
        <v>-1.3570687974843001</v>
      </c>
      <c r="C21">
        <v>0.82799999999999996</v>
      </c>
      <c r="D21">
        <v>0.93500000000000005</v>
      </c>
      <c r="E21">
        <v>1.15089608246204E-51</v>
      </c>
      <c r="F21" t="s">
        <v>67</v>
      </c>
      <c r="G21" t="s">
        <v>68</v>
      </c>
      <c r="H21" t="s">
        <v>67</v>
      </c>
      <c r="I21" t="str">
        <f>HYPERLINK("https://zfin.org/ZDB-GENE-040426-2666")</f>
        <v>https://zfin.org/ZDB-GENE-040426-2666</v>
      </c>
      <c r="J21" t="s">
        <v>69</v>
      </c>
    </row>
    <row r="22" spans="1:10" x14ac:dyDescent="0.2">
      <c r="A22">
        <v>9.7832039693632307E-55</v>
      </c>
      <c r="B22">
        <v>-1.29876308434215</v>
      </c>
      <c r="C22">
        <v>0.63800000000000001</v>
      </c>
      <c r="D22">
        <v>0.91100000000000003</v>
      </c>
      <c r="E22">
        <v>1.5147334705765099E-50</v>
      </c>
      <c r="F22" t="s">
        <v>70</v>
      </c>
      <c r="G22" t="s">
        <v>71</v>
      </c>
      <c r="H22" t="s">
        <v>70</v>
      </c>
      <c r="I22" t="str">
        <f>HYPERLINK("https://zfin.org/ZDB-GENE-990708-8")</f>
        <v>https://zfin.org/ZDB-GENE-990708-8</v>
      </c>
      <c r="J22" t="s">
        <v>72</v>
      </c>
    </row>
    <row r="23" spans="1:10" x14ac:dyDescent="0.2">
      <c r="A23">
        <v>2.5392711939566802E-53</v>
      </c>
      <c r="B23">
        <v>-1.8627417456436499</v>
      </c>
      <c r="C23">
        <v>0.56299999999999994</v>
      </c>
      <c r="D23">
        <v>0.85199999999999998</v>
      </c>
      <c r="E23">
        <v>3.9315535896031197E-49</v>
      </c>
      <c r="F23" t="s">
        <v>73</v>
      </c>
      <c r="G23" t="s">
        <v>74</v>
      </c>
      <c r="H23" t="s">
        <v>73</v>
      </c>
      <c r="I23" t="str">
        <f>HYPERLINK("https://zfin.org/ZDB-GENE-050522-73")</f>
        <v>https://zfin.org/ZDB-GENE-050522-73</v>
      </c>
      <c r="J23" t="s">
        <v>75</v>
      </c>
    </row>
    <row r="24" spans="1:10" x14ac:dyDescent="0.2">
      <c r="A24">
        <v>4.5052807658842197E-53</v>
      </c>
      <c r="B24">
        <v>-1.6395259875686199</v>
      </c>
      <c r="C24">
        <v>0.72399999999999998</v>
      </c>
      <c r="D24">
        <v>0.88900000000000001</v>
      </c>
      <c r="E24">
        <v>6.9755262098185404E-49</v>
      </c>
      <c r="F24" t="s">
        <v>76</v>
      </c>
      <c r="G24" t="s">
        <v>77</v>
      </c>
      <c r="H24" t="s">
        <v>76</v>
      </c>
      <c r="I24" t="str">
        <f>HYPERLINK("https://zfin.org/ZDB-GENE-031001-11")</f>
        <v>https://zfin.org/ZDB-GENE-031001-11</v>
      </c>
      <c r="J24" t="s">
        <v>78</v>
      </c>
    </row>
    <row r="25" spans="1:10" x14ac:dyDescent="0.2">
      <c r="A25">
        <v>1.8633952952251301E-52</v>
      </c>
      <c r="B25">
        <v>-1.6170922492730899</v>
      </c>
      <c r="C25">
        <v>0.69499999999999995</v>
      </c>
      <c r="D25">
        <v>0.86699999999999999</v>
      </c>
      <c r="E25">
        <v>2.8850949355970699E-48</v>
      </c>
      <c r="F25" t="s">
        <v>79</v>
      </c>
      <c r="G25" t="s">
        <v>80</v>
      </c>
      <c r="H25" t="s">
        <v>79</v>
      </c>
      <c r="I25" t="str">
        <f>HYPERLINK("https://zfin.org/ZDB-GENE-061111-1")</f>
        <v>https://zfin.org/ZDB-GENE-061111-1</v>
      </c>
      <c r="J25" t="s">
        <v>81</v>
      </c>
    </row>
    <row r="26" spans="1:10" x14ac:dyDescent="0.2">
      <c r="A26">
        <v>2.32142312830817E-52</v>
      </c>
      <c r="B26">
        <v>-1.85722553045029</v>
      </c>
      <c r="C26">
        <v>0.61499999999999999</v>
      </c>
      <c r="D26">
        <v>0.86299999999999999</v>
      </c>
      <c r="E26">
        <v>3.5942594295595397E-48</v>
      </c>
      <c r="F26" t="s">
        <v>82</v>
      </c>
      <c r="G26" t="s">
        <v>83</v>
      </c>
      <c r="H26" t="s">
        <v>84</v>
      </c>
      <c r="I26" t="str">
        <f>HYPERLINK("https://zfin.org/")</f>
        <v>https://zfin.org/</v>
      </c>
    </row>
    <row r="27" spans="1:10" x14ac:dyDescent="0.2">
      <c r="A27">
        <v>6.4343680818772403E-52</v>
      </c>
      <c r="B27">
        <v>-0.68803894119586095</v>
      </c>
      <c r="C27">
        <v>1</v>
      </c>
      <c r="D27">
        <v>0.999</v>
      </c>
      <c r="E27">
        <v>9.9623321011705401E-48</v>
      </c>
      <c r="F27" t="s">
        <v>85</v>
      </c>
      <c r="G27" t="s">
        <v>86</v>
      </c>
      <c r="H27" t="s">
        <v>85</v>
      </c>
      <c r="I27" t="str">
        <f>HYPERLINK("https://zfin.org/ZDB-GENE-990415-52")</f>
        <v>https://zfin.org/ZDB-GENE-990415-52</v>
      </c>
      <c r="J27" t="s">
        <v>87</v>
      </c>
    </row>
    <row r="28" spans="1:10" x14ac:dyDescent="0.2">
      <c r="A28">
        <v>1.52989070372504E-51</v>
      </c>
      <c r="B28">
        <v>-1.5630129600554099</v>
      </c>
      <c r="C28">
        <v>0.51100000000000001</v>
      </c>
      <c r="D28">
        <v>0.83499999999999996</v>
      </c>
      <c r="E28">
        <v>2.3687297765774698E-47</v>
      </c>
      <c r="F28" t="s">
        <v>88</v>
      </c>
      <c r="G28" t="s">
        <v>89</v>
      </c>
      <c r="H28" t="s">
        <v>88</v>
      </c>
      <c r="I28" t="str">
        <f>HYPERLINK("https://zfin.org/ZDB-GENE-030825-1")</f>
        <v>https://zfin.org/ZDB-GENE-030825-1</v>
      </c>
      <c r="J28" t="s">
        <v>90</v>
      </c>
    </row>
    <row r="29" spans="1:10" x14ac:dyDescent="0.2">
      <c r="A29">
        <v>5.68759672992442E-50</v>
      </c>
      <c r="B29">
        <v>-1.62376903912127</v>
      </c>
      <c r="C29">
        <v>0.247</v>
      </c>
      <c r="D29">
        <v>0.76800000000000002</v>
      </c>
      <c r="E29">
        <v>8.8061060169419896E-46</v>
      </c>
      <c r="F29" t="s">
        <v>91</v>
      </c>
      <c r="G29" t="s">
        <v>92</v>
      </c>
      <c r="H29" t="s">
        <v>91</v>
      </c>
      <c r="I29" t="str">
        <f>HYPERLINK("https://zfin.org/ZDB-GENE-120215-258")</f>
        <v>https://zfin.org/ZDB-GENE-120215-258</v>
      </c>
      <c r="J29" t="s">
        <v>93</v>
      </c>
    </row>
    <row r="30" spans="1:10" x14ac:dyDescent="0.2">
      <c r="A30">
        <v>8.7451370219005908E-50</v>
      </c>
      <c r="B30">
        <v>-1.72001067960285</v>
      </c>
      <c r="C30">
        <v>0.42499999999999999</v>
      </c>
      <c r="D30">
        <v>0.81200000000000006</v>
      </c>
      <c r="E30">
        <v>1.35400956510087E-45</v>
      </c>
      <c r="F30" t="s">
        <v>94</v>
      </c>
      <c r="G30" t="s">
        <v>95</v>
      </c>
      <c r="H30" t="s">
        <v>94</v>
      </c>
      <c r="I30" t="str">
        <f>HYPERLINK("https://zfin.org/ZDB-GENE-010129-1")</f>
        <v>https://zfin.org/ZDB-GENE-010129-1</v>
      </c>
      <c r="J30" t="s">
        <v>96</v>
      </c>
    </row>
    <row r="31" spans="1:10" x14ac:dyDescent="0.2">
      <c r="A31">
        <v>2.02210932158468E-49</v>
      </c>
      <c r="B31">
        <v>-1.40881379411569</v>
      </c>
      <c r="C31">
        <v>0.753</v>
      </c>
      <c r="D31">
        <v>0.89500000000000002</v>
      </c>
      <c r="E31">
        <v>3.1308318626095699E-45</v>
      </c>
      <c r="F31" t="s">
        <v>97</v>
      </c>
      <c r="G31" t="s">
        <v>98</v>
      </c>
      <c r="H31" t="s">
        <v>97</v>
      </c>
      <c r="I31" t="str">
        <f>HYPERLINK("https://zfin.org/ZDB-GENE-000210-15")</f>
        <v>https://zfin.org/ZDB-GENE-000210-15</v>
      </c>
      <c r="J31" t="s">
        <v>99</v>
      </c>
    </row>
    <row r="32" spans="1:10" x14ac:dyDescent="0.2">
      <c r="A32">
        <v>1.5840815903464799E-48</v>
      </c>
      <c r="B32">
        <v>-2.1211541606956699</v>
      </c>
      <c r="C32">
        <v>0.60299999999999998</v>
      </c>
      <c r="D32">
        <v>0.84599999999999997</v>
      </c>
      <c r="E32">
        <v>2.45263352633345E-44</v>
      </c>
      <c r="F32" t="s">
        <v>100</v>
      </c>
      <c r="G32" t="s">
        <v>101</v>
      </c>
      <c r="H32" t="s">
        <v>100</v>
      </c>
      <c r="I32" t="str">
        <f>HYPERLINK("https://zfin.org/ZDB-GENE-030131-12")</f>
        <v>https://zfin.org/ZDB-GENE-030131-12</v>
      </c>
      <c r="J32" t="s">
        <v>102</v>
      </c>
    </row>
    <row r="33" spans="1:10" x14ac:dyDescent="0.2">
      <c r="A33">
        <v>1.0615432672378599E-46</v>
      </c>
      <c r="B33">
        <v>-2.0039756079069102</v>
      </c>
      <c r="C33">
        <v>0.34499999999999997</v>
      </c>
      <c r="D33">
        <v>0.77200000000000002</v>
      </c>
      <c r="E33">
        <v>1.6435874406643799E-42</v>
      </c>
      <c r="F33" t="s">
        <v>103</v>
      </c>
      <c r="G33" t="s">
        <v>104</v>
      </c>
      <c r="H33" t="s">
        <v>103</v>
      </c>
      <c r="I33" t="str">
        <f>HYPERLINK("https://zfin.org/ZDB-GENE-041121-18")</f>
        <v>https://zfin.org/ZDB-GENE-041121-18</v>
      </c>
      <c r="J33" t="s">
        <v>105</v>
      </c>
    </row>
    <row r="34" spans="1:10" x14ac:dyDescent="0.2">
      <c r="A34">
        <v>1.7941236842461901E-46</v>
      </c>
      <c r="B34">
        <v>-1.9006877525767401</v>
      </c>
      <c r="C34">
        <v>0.47699999999999998</v>
      </c>
      <c r="D34">
        <v>0.79900000000000004</v>
      </c>
      <c r="E34">
        <v>2.7778417003183699E-42</v>
      </c>
      <c r="F34" t="s">
        <v>106</v>
      </c>
      <c r="G34" t="s">
        <v>107</v>
      </c>
      <c r="H34" t="s">
        <v>106</v>
      </c>
      <c r="I34" t="str">
        <f>HYPERLINK("https://zfin.org/ZDB-GENE-101011-2")</f>
        <v>https://zfin.org/ZDB-GENE-101011-2</v>
      </c>
      <c r="J34" t="s">
        <v>108</v>
      </c>
    </row>
    <row r="35" spans="1:10" x14ac:dyDescent="0.2">
      <c r="A35">
        <v>3.6822905370852999E-46</v>
      </c>
      <c r="B35">
        <v>-0.91238732430313996</v>
      </c>
      <c r="C35">
        <v>0.879</v>
      </c>
      <c r="D35">
        <v>0.93</v>
      </c>
      <c r="E35">
        <v>5.7012904385691701E-42</v>
      </c>
      <c r="F35" t="s">
        <v>109</v>
      </c>
      <c r="G35" t="s">
        <v>110</v>
      </c>
      <c r="H35" t="s">
        <v>109</v>
      </c>
      <c r="I35" t="str">
        <f>HYPERLINK("https://zfin.org/ZDB-GENE-040718-203")</f>
        <v>https://zfin.org/ZDB-GENE-040718-203</v>
      </c>
      <c r="J35" t="s">
        <v>111</v>
      </c>
    </row>
    <row r="36" spans="1:10" x14ac:dyDescent="0.2">
      <c r="A36">
        <v>1.02390302853527E-43</v>
      </c>
      <c r="B36">
        <v>-0.74354196265846295</v>
      </c>
      <c r="C36">
        <v>0.96599999999999997</v>
      </c>
      <c r="D36">
        <v>0.96599999999999997</v>
      </c>
      <c r="E36">
        <v>1.5853090590811599E-39</v>
      </c>
      <c r="F36" t="s">
        <v>112</v>
      </c>
      <c r="G36" t="s">
        <v>113</v>
      </c>
      <c r="H36" t="s">
        <v>112</v>
      </c>
      <c r="I36" t="str">
        <f>HYPERLINK("https://zfin.org/ZDB-GENE-000210-33")</f>
        <v>https://zfin.org/ZDB-GENE-000210-33</v>
      </c>
      <c r="J36" t="s">
        <v>114</v>
      </c>
    </row>
    <row r="37" spans="1:10" x14ac:dyDescent="0.2">
      <c r="A37">
        <v>1.06209729131751E-43</v>
      </c>
      <c r="B37">
        <v>-0.87715367113770704</v>
      </c>
      <c r="C37">
        <v>0.92</v>
      </c>
      <c r="D37">
        <v>0.95799999999999996</v>
      </c>
      <c r="E37">
        <v>1.6444452361469001E-39</v>
      </c>
      <c r="F37" t="s">
        <v>115</v>
      </c>
      <c r="G37" t="s">
        <v>116</v>
      </c>
      <c r="H37" t="s">
        <v>115</v>
      </c>
      <c r="I37" t="str">
        <f>HYPERLINK("https://zfin.org/ZDB-GENE-050208-726")</f>
        <v>https://zfin.org/ZDB-GENE-050208-726</v>
      </c>
      <c r="J37" t="s">
        <v>117</v>
      </c>
    </row>
    <row r="38" spans="1:10" x14ac:dyDescent="0.2">
      <c r="A38">
        <v>1.5571867992611499E-43</v>
      </c>
      <c r="B38">
        <v>-1.27947581358217</v>
      </c>
      <c r="C38">
        <v>0.626</v>
      </c>
      <c r="D38">
        <v>0.84499999999999997</v>
      </c>
      <c r="E38">
        <v>2.4109923212960399E-39</v>
      </c>
      <c r="F38" t="s">
        <v>118</v>
      </c>
      <c r="G38" t="s">
        <v>119</v>
      </c>
      <c r="H38" t="s">
        <v>118</v>
      </c>
      <c r="I38" t="str">
        <f>HYPERLINK("https://zfin.org/ZDB-GENE-030410-1")</f>
        <v>https://zfin.org/ZDB-GENE-030410-1</v>
      </c>
      <c r="J38" t="s">
        <v>120</v>
      </c>
    </row>
    <row r="39" spans="1:10" x14ac:dyDescent="0.2">
      <c r="A39">
        <v>2.0917825699626602E-43</v>
      </c>
      <c r="B39">
        <v>-1.21373694342003</v>
      </c>
      <c r="C39">
        <v>0.72399999999999998</v>
      </c>
      <c r="D39">
        <v>0.84399999999999997</v>
      </c>
      <c r="E39">
        <v>3.2387069530731898E-39</v>
      </c>
      <c r="F39" t="s">
        <v>121</v>
      </c>
      <c r="G39" t="s">
        <v>122</v>
      </c>
      <c r="H39" t="s">
        <v>121</v>
      </c>
      <c r="I39" t="str">
        <f>HYPERLINK("https://zfin.org/ZDB-GENE-040426-2740")</f>
        <v>https://zfin.org/ZDB-GENE-040426-2740</v>
      </c>
      <c r="J39" t="s">
        <v>123</v>
      </c>
    </row>
    <row r="40" spans="1:10" x14ac:dyDescent="0.2">
      <c r="A40">
        <v>1.50837562183204E-42</v>
      </c>
      <c r="B40">
        <v>-1.00427339348873</v>
      </c>
      <c r="C40">
        <v>0.67200000000000004</v>
      </c>
      <c r="D40">
        <v>0.94499999999999995</v>
      </c>
      <c r="E40">
        <v>2.3354179752825499E-38</v>
      </c>
      <c r="F40" t="s">
        <v>124</v>
      </c>
      <c r="G40" t="s">
        <v>125</v>
      </c>
      <c r="H40" t="s">
        <v>124</v>
      </c>
      <c r="I40" t="str">
        <f>HYPERLINK("https://zfin.org/ZDB-GENE-040426-2315")</f>
        <v>https://zfin.org/ZDB-GENE-040426-2315</v>
      </c>
      <c r="J40" t="s">
        <v>126</v>
      </c>
    </row>
    <row r="41" spans="1:10" x14ac:dyDescent="0.2">
      <c r="A41">
        <v>1.29557342813899E-40</v>
      </c>
      <c r="B41">
        <v>-1.4797275053780199</v>
      </c>
      <c r="C41">
        <v>0.161</v>
      </c>
      <c r="D41">
        <v>0.67700000000000005</v>
      </c>
      <c r="E41">
        <v>2.0059363387876001E-36</v>
      </c>
      <c r="F41" t="s">
        <v>127</v>
      </c>
      <c r="G41" t="s">
        <v>128</v>
      </c>
      <c r="H41" t="s">
        <v>127</v>
      </c>
      <c r="I41" t="str">
        <f>HYPERLINK("https://zfin.org/ZDB-GENE-050208-317")</f>
        <v>https://zfin.org/ZDB-GENE-050208-317</v>
      </c>
      <c r="J41" t="s">
        <v>129</v>
      </c>
    </row>
    <row r="42" spans="1:10" x14ac:dyDescent="0.2">
      <c r="A42">
        <v>1.5864408636159499E-39</v>
      </c>
      <c r="B42">
        <v>-1.4408198550418201</v>
      </c>
      <c r="C42">
        <v>0.753</v>
      </c>
      <c r="D42">
        <v>0.86299999999999999</v>
      </c>
      <c r="E42">
        <v>2.4562863891365798E-35</v>
      </c>
      <c r="F42" t="s">
        <v>130</v>
      </c>
      <c r="G42" t="s">
        <v>131</v>
      </c>
      <c r="H42" t="s">
        <v>130</v>
      </c>
      <c r="I42" t="str">
        <f>HYPERLINK("https://zfin.org/ZDB-GENE-030131-8599")</f>
        <v>https://zfin.org/ZDB-GENE-030131-8599</v>
      </c>
      <c r="J42" t="s">
        <v>132</v>
      </c>
    </row>
    <row r="43" spans="1:10" x14ac:dyDescent="0.2">
      <c r="A43">
        <v>2.13957618497133E-39</v>
      </c>
      <c r="B43">
        <v>-1.7224017913943801</v>
      </c>
      <c r="C43">
        <v>6.9000000000000006E-2</v>
      </c>
      <c r="D43">
        <v>0.61699999999999999</v>
      </c>
      <c r="E43">
        <v>3.31270580719111E-35</v>
      </c>
      <c r="F43" t="s">
        <v>133</v>
      </c>
      <c r="G43" t="s">
        <v>134</v>
      </c>
      <c r="H43" t="s">
        <v>133</v>
      </c>
      <c r="I43" t="str">
        <f>HYPERLINK("https://zfin.org/")</f>
        <v>https://zfin.org/</v>
      </c>
    </row>
    <row r="44" spans="1:10" x14ac:dyDescent="0.2">
      <c r="A44">
        <v>1.5037428168119301E-38</v>
      </c>
      <c r="B44">
        <v>-1.4723956695280001</v>
      </c>
      <c r="C44">
        <v>0.26400000000000001</v>
      </c>
      <c r="D44">
        <v>0.69</v>
      </c>
      <c r="E44">
        <v>2.3282450032699198E-34</v>
      </c>
      <c r="F44" t="s">
        <v>135</v>
      </c>
      <c r="G44" t="s">
        <v>136</v>
      </c>
      <c r="H44" t="s">
        <v>135</v>
      </c>
      <c r="I44" t="str">
        <f>HYPERLINK("https://zfin.org/ZDB-GENE-071205-8")</f>
        <v>https://zfin.org/ZDB-GENE-071205-8</v>
      </c>
      <c r="J44" t="s">
        <v>137</v>
      </c>
    </row>
    <row r="45" spans="1:10" x14ac:dyDescent="0.2">
      <c r="A45">
        <v>1.0058191753151E-37</v>
      </c>
      <c r="B45">
        <v>-1.4136454436513699</v>
      </c>
      <c r="C45">
        <v>0.316</v>
      </c>
      <c r="D45">
        <v>0.71099999999999997</v>
      </c>
      <c r="E45">
        <v>1.5573098291403701E-33</v>
      </c>
      <c r="F45" t="s">
        <v>138</v>
      </c>
      <c r="G45" t="s">
        <v>139</v>
      </c>
      <c r="H45" t="s">
        <v>138</v>
      </c>
      <c r="I45" t="str">
        <f>HYPERLINK("https://zfin.org/ZDB-GENE-030131-2524")</f>
        <v>https://zfin.org/ZDB-GENE-030131-2524</v>
      </c>
      <c r="J45" t="s">
        <v>140</v>
      </c>
    </row>
    <row r="46" spans="1:10" x14ac:dyDescent="0.2">
      <c r="A46">
        <v>1.3489170783144901E-37</v>
      </c>
      <c r="B46">
        <v>-1.3451475071942101</v>
      </c>
      <c r="C46">
        <v>0.31</v>
      </c>
      <c r="D46">
        <v>0.70199999999999996</v>
      </c>
      <c r="E46">
        <v>2.0885283123543199E-33</v>
      </c>
      <c r="F46" t="s">
        <v>141</v>
      </c>
      <c r="G46" t="s">
        <v>142</v>
      </c>
      <c r="H46" t="s">
        <v>141</v>
      </c>
      <c r="I46" t="str">
        <f>HYPERLINK("https://zfin.org/ZDB-GENE-040426-2770")</f>
        <v>https://zfin.org/ZDB-GENE-040426-2770</v>
      </c>
      <c r="J46" t="s">
        <v>143</v>
      </c>
    </row>
    <row r="47" spans="1:10" x14ac:dyDescent="0.2">
      <c r="A47">
        <v>4.4472838808883702E-37</v>
      </c>
      <c r="B47">
        <v>-1.0126202602716701</v>
      </c>
      <c r="C47">
        <v>0.77600000000000002</v>
      </c>
      <c r="D47">
        <v>0.84199999999999997</v>
      </c>
      <c r="E47">
        <v>6.8857296327794602E-33</v>
      </c>
      <c r="F47" t="s">
        <v>144</v>
      </c>
      <c r="G47" t="s">
        <v>145</v>
      </c>
      <c r="H47" t="s">
        <v>144</v>
      </c>
      <c r="I47" t="str">
        <f>HYPERLINK("https://zfin.org/ZDB-GENE-040426-1955")</f>
        <v>https://zfin.org/ZDB-GENE-040426-1955</v>
      </c>
      <c r="J47" t="s">
        <v>146</v>
      </c>
    </row>
    <row r="48" spans="1:10" x14ac:dyDescent="0.2">
      <c r="A48">
        <v>8.3635142511383194E-37</v>
      </c>
      <c r="B48">
        <v>-1.0225742758716301</v>
      </c>
      <c r="C48">
        <v>0.68400000000000005</v>
      </c>
      <c r="D48">
        <v>0.82499999999999996</v>
      </c>
      <c r="E48">
        <v>1.2949229115037499E-32</v>
      </c>
      <c r="F48" t="s">
        <v>147</v>
      </c>
      <c r="G48" t="s">
        <v>148</v>
      </c>
      <c r="H48" t="s">
        <v>147</v>
      </c>
      <c r="I48" t="str">
        <f>HYPERLINK("https://zfin.org/ZDB-GENE-030410-4")</f>
        <v>https://zfin.org/ZDB-GENE-030410-4</v>
      </c>
      <c r="J48" t="s">
        <v>149</v>
      </c>
    </row>
    <row r="49" spans="1:10" x14ac:dyDescent="0.2">
      <c r="A49">
        <v>9.0176668710403905E-37</v>
      </c>
      <c r="B49">
        <v>-0.64623858202592599</v>
      </c>
      <c r="C49">
        <v>0.96</v>
      </c>
      <c r="D49">
        <v>0.96899999999999997</v>
      </c>
      <c r="E49">
        <v>1.3962053616431801E-32</v>
      </c>
      <c r="F49" t="s">
        <v>150</v>
      </c>
      <c r="G49" t="s">
        <v>151</v>
      </c>
      <c r="H49" t="s">
        <v>150</v>
      </c>
      <c r="I49" t="str">
        <f>HYPERLINK("https://zfin.org/ZDB-GENE-020419-25")</f>
        <v>https://zfin.org/ZDB-GENE-020419-25</v>
      </c>
      <c r="J49" t="s">
        <v>152</v>
      </c>
    </row>
    <row r="50" spans="1:10" x14ac:dyDescent="0.2">
      <c r="A50">
        <v>1.6361847913688801E-36</v>
      </c>
      <c r="B50">
        <v>-1.7397773073421401</v>
      </c>
      <c r="C50">
        <v>0.42</v>
      </c>
      <c r="D50">
        <v>0.73499999999999999</v>
      </c>
      <c r="E50">
        <v>2.5333049124764302E-32</v>
      </c>
      <c r="F50" t="s">
        <v>153</v>
      </c>
      <c r="G50" t="s">
        <v>154</v>
      </c>
      <c r="H50" t="s">
        <v>153</v>
      </c>
      <c r="I50" t="str">
        <f>HYPERLINK("https://zfin.org/ZDB-GENE-990715-6")</f>
        <v>https://zfin.org/ZDB-GENE-990715-6</v>
      </c>
      <c r="J50" t="s">
        <v>155</v>
      </c>
    </row>
    <row r="51" spans="1:10" x14ac:dyDescent="0.2">
      <c r="A51">
        <v>2.8976149639554E-36</v>
      </c>
      <c r="B51">
        <v>-1.5205303440170299</v>
      </c>
      <c r="C51">
        <v>0.73</v>
      </c>
      <c r="D51">
        <v>0.79200000000000004</v>
      </c>
      <c r="E51">
        <v>4.4863772486921501E-32</v>
      </c>
      <c r="F51" t="s">
        <v>156</v>
      </c>
      <c r="G51" t="s">
        <v>157</v>
      </c>
      <c r="H51" t="s">
        <v>156</v>
      </c>
      <c r="I51" t="str">
        <f>HYPERLINK("https://zfin.org/ZDB-GENE-141222-6")</f>
        <v>https://zfin.org/ZDB-GENE-141222-6</v>
      </c>
      <c r="J51" t="s">
        <v>158</v>
      </c>
    </row>
    <row r="52" spans="1:10" x14ac:dyDescent="0.2">
      <c r="A52">
        <v>3.1682977083844198E-36</v>
      </c>
      <c r="B52">
        <v>-0.60629100675169401</v>
      </c>
      <c r="C52">
        <v>1</v>
      </c>
      <c r="D52">
        <v>0.99299999999999999</v>
      </c>
      <c r="E52">
        <v>4.90547534189159E-32</v>
      </c>
      <c r="F52" t="s">
        <v>159</v>
      </c>
      <c r="G52" t="s">
        <v>160</v>
      </c>
      <c r="H52" t="s">
        <v>159</v>
      </c>
      <c r="I52" t="str">
        <f>HYPERLINK("https://zfin.org/ZDB-GENE-030131-8663")</f>
        <v>https://zfin.org/ZDB-GENE-030131-8663</v>
      </c>
      <c r="J52" t="s">
        <v>161</v>
      </c>
    </row>
    <row r="53" spans="1:10" x14ac:dyDescent="0.2">
      <c r="A53">
        <v>2.6174066753850699E-35</v>
      </c>
      <c r="B53">
        <v>-1.01805725228967</v>
      </c>
      <c r="C53">
        <v>0.67800000000000005</v>
      </c>
      <c r="D53">
        <v>0.84299999999999997</v>
      </c>
      <c r="E53">
        <v>4.0525307554987E-31</v>
      </c>
      <c r="F53" t="s">
        <v>162</v>
      </c>
      <c r="G53" t="s">
        <v>163</v>
      </c>
      <c r="H53" t="s">
        <v>162</v>
      </c>
      <c r="I53" t="str">
        <f>HYPERLINK("https://zfin.org/ZDB-GENE-050307-5")</f>
        <v>https://zfin.org/ZDB-GENE-050307-5</v>
      </c>
      <c r="J53" t="s">
        <v>164</v>
      </c>
    </row>
    <row r="54" spans="1:10" x14ac:dyDescent="0.2">
      <c r="A54">
        <v>3.0616326047320499E-35</v>
      </c>
      <c r="B54">
        <v>-1.53147794212894</v>
      </c>
      <c r="C54">
        <v>0.224</v>
      </c>
      <c r="D54">
        <v>0.64800000000000002</v>
      </c>
      <c r="E54">
        <v>4.7403257619066298E-31</v>
      </c>
      <c r="F54" t="s">
        <v>165</v>
      </c>
      <c r="G54" t="s">
        <v>166</v>
      </c>
      <c r="H54" t="s">
        <v>165</v>
      </c>
      <c r="I54" t="str">
        <f>HYPERLINK("https://zfin.org/ZDB-GENE-030131-4678")</f>
        <v>https://zfin.org/ZDB-GENE-030131-4678</v>
      </c>
      <c r="J54" t="s">
        <v>167</v>
      </c>
    </row>
    <row r="55" spans="1:10" x14ac:dyDescent="0.2">
      <c r="A55">
        <v>5.8766891329126101E-34</v>
      </c>
      <c r="B55">
        <v>-0.70227610571907295</v>
      </c>
      <c r="C55">
        <v>0.95399999999999996</v>
      </c>
      <c r="D55">
        <v>0.97099999999999997</v>
      </c>
      <c r="E55">
        <v>9.0988777844885899E-30</v>
      </c>
      <c r="F55" t="s">
        <v>168</v>
      </c>
      <c r="G55" t="s">
        <v>169</v>
      </c>
      <c r="H55" t="s">
        <v>168</v>
      </c>
      <c r="I55" t="str">
        <f>HYPERLINK("https://zfin.org/ZDB-GENE-030131-5475")</f>
        <v>https://zfin.org/ZDB-GENE-030131-5475</v>
      </c>
      <c r="J55" t="s">
        <v>170</v>
      </c>
    </row>
    <row r="56" spans="1:10" x14ac:dyDescent="0.2">
      <c r="A56">
        <v>6.0196169410245398E-34</v>
      </c>
      <c r="B56">
        <v>-0.91252006934033703</v>
      </c>
      <c r="C56">
        <v>0.64900000000000002</v>
      </c>
      <c r="D56">
        <v>0.89500000000000002</v>
      </c>
      <c r="E56">
        <v>9.3201729097883003E-30</v>
      </c>
      <c r="F56" t="s">
        <v>171</v>
      </c>
      <c r="G56" t="s">
        <v>172</v>
      </c>
      <c r="H56" t="s">
        <v>171</v>
      </c>
      <c r="I56" t="str">
        <f>HYPERLINK("https://zfin.org/ZDB-GENE-010328-8")</f>
        <v>https://zfin.org/ZDB-GENE-010328-8</v>
      </c>
      <c r="J56" t="s">
        <v>173</v>
      </c>
    </row>
    <row r="57" spans="1:10" x14ac:dyDescent="0.2">
      <c r="A57">
        <v>7.8495938737021298E-34</v>
      </c>
      <c r="B57">
        <v>-1.5317265612645301</v>
      </c>
      <c r="C57">
        <v>0.30499999999999999</v>
      </c>
      <c r="D57">
        <v>0.67800000000000005</v>
      </c>
      <c r="E57">
        <v>1.2153526194652999E-29</v>
      </c>
      <c r="F57" t="s">
        <v>174</v>
      </c>
      <c r="G57" t="s">
        <v>175</v>
      </c>
      <c r="H57" t="s">
        <v>174</v>
      </c>
      <c r="I57" t="str">
        <f>HYPERLINK("https://zfin.org/ZDB-GENE-050308-1")</f>
        <v>https://zfin.org/ZDB-GENE-050308-1</v>
      </c>
      <c r="J57" t="s">
        <v>176</v>
      </c>
    </row>
    <row r="58" spans="1:10" x14ac:dyDescent="0.2">
      <c r="A58">
        <v>1.6652666218267701E-33</v>
      </c>
      <c r="B58">
        <v>-2.3265979569975599</v>
      </c>
      <c r="C58">
        <v>0.52300000000000002</v>
      </c>
      <c r="D58">
        <v>0.73299999999999998</v>
      </c>
      <c r="E58">
        <v>2.5783323105743801E-29</v>
      </c>
      <c r="F58" t="s">
        <v>177</v>
      </c>
      <c r="G58" t="s">
        <v>178</v>
      </c>
      <c r="H58" t="s">
        <v>177</v>
      </c>
      <c r="I58" t="str">
        <f>HYPERLINK("https://zfin.org/ZDB-GENE-111109-2")</f>
        <v>https://zfin.org/ZDB-GENE-111109-2</v>
      </c>
      <c r="J58" t="s">
        <v>179</v>
      </c>
    </row>
    <row r="59" spans="1:10" x14ac:dyDescent="0.2">
      <c r="A59">
        <v>4.3957681579646903E-33</v>
      </c>
      <c r="B59">
        <v>-1.16551881344377</v>
      </c>
      <c r="C59">
        <v>0.54600000000000004</v>
      </c>
      <c r="D59">
        <v>0.77400000000000002</v>
      </c>
      <c r="E59">
        <v>6.80596783897674E-29</v>
      </c>
      <c r="F59" t="s">
        <v>180</v>
      </c>
      <c r="G59" t="s">
        <v>181</v>
      </c>
      <c r="H59" t="s">
        <v>180</v>
      </c>
      <c r="I59" t="str">
        <f>HYPERLINK("https://zfin.org/ZDB-GENE-030826-15")</f>
        <v>https://zfin.org/ZDB-GENE-030826-15</v>
      </c>
      <c r="J59" t="s">
        <v>182</v>
      </c>
    </row>
    <row r="60" spans="1:10" x14ac:dyDescent="0.2">
      <c r="A60">
        <v>5.7176529803794698E-33</v>
      </c>
      <c r="B60">
        <v>-0.741383440462556</v>
      </c>
      <c r="C60">
        <v>0.93100000000000005</v>
      </c>
      <c r="D60">
        <v>0.92900000000000005</v>
      </c>
      <c r="E60">
        <v>8.8526421095215304E-29</v>
      </c>
      <c r="F60" t="s">
        <v>183</v>
      </c>
      <c r="G60" t="s">
        <v>184</v>
      </c>
      <c r="H60" t="s">
        <v>183</v>
      </c>
      <c r="I60" t="str">
        <f>HYPERLINK("https://zfin.org/ZDB-GENE-030131-8417")</f>
        <v>https://zfin.org/ZDB-GENE-030131-8417</v>
      </c>
      <c r="J60" t="s">
        <v>185</v>
      </c>
    </row>
    <row r="61" spans="1:10" x14ac:dyDescent="0.2">
      <c r="A61">
        <v>6.0757959625425602E-33</v>
      </c>
      <c r="B61">
        <v>-1.36255859988725</v>
      </c>
      <c r="C61">
        <v>0.52300000000000002</v>
      </c>
      <c r="D61">
        <v>0.74199999999999999</v>
      </c>
      <c r="E61">
        <v>9.4071548888046398E-29</v>
      </c>
      <c r="F61" t="s">
        <v>186</v>
      </c>
      <c r="G61" t="s">
        <v>187</v>
      </c>
      <c r="H61" t="s">
        <v>186</v>
      </c>
      <c r="I61" t="str">
        <f>HYPERLINK("https://zfin.org/ZDB-GENE-031002-1")</f>
        <v>https://zfin.org/ZDB-GENE-031002-1</v>
      </c>
      <c r="J61" t="s">
        <v>188</v>
      </c>
    </row>
    <row r="62" spans="1:10" x14ac:dyDescent="0.2">
      <c r="A62">
        <v>6.3595249587210094E-33</v>
      </c>
      <c r="B62">
        <v>-1.45452485105101</v>
      </c>
      <c r="C62">
        <v>0.224</v>
      </c>
      <c r="D62">
        <v>0.63400000000000001</v>
      </c>
      <c r="E62">
        <v>9.8464524935877299E-29</v>
      </c>
      <c r="F62" t="s">
        <v>189</v>
      </c>
      <c r="G62" t="s">
        <v>190</v>
      </c>
      <c r="H62" t="s">
        <v>189</v>
      </c>
      <c r="I62" t="str">
        <f>HYPERLINK("https://zfin.org/ZDB-GENE-060126-3")</f>
        <v>https://zfin.org/ZDB-GENE-060126-3</v>
      </c>
      <c r="J62" t="s">
        <v>191</v>
      </c>
    </row>
    <row r="63" spans="1:10" x14ac:dyDescent="0.2">
      <c r="A63">
        <v>3.6218792447783698E-32</v>
      </c>
      <c r="B63">
        <v>-1.61710548872482</v>
      </c>
      <c r="C63">
        <v>0.247</v>
      </c>
      <c r="D63">
        <v>0.63800000000000001</v>
      </c>
      <c r="E63">
        <v>5.6077556346903496E-28</v>
      </c>
      <c r="F63" t="s">
        <v>192</v>
      </c>
      <c r="G63" t="s">
        <v>193</v>
      </c>
      <c r="H63" t="s">
        <v>192</v>
      </c>
      <c r="I63" t="str">
        <f>HYPERLINK("https://zfin.org/ZDB-GENE-030131-9126")</f>
        <v>https://zfin.org/ZDB-GENE-030131-9126</v>
      </c>
      <c r="J63" t="s">
        <v>194</v>
      </c>
    </row>
    <row r="64" spans="1:10" x14ac:dyDescent="0.2">
      <c r="A64">
        <v>4.3825878989997399E-32</v>
      </c>
      <c r="B64">
        <v>-1.3572909418950201</v>
      </c>
      <c r="C64">
        <v>0.316</v>
      </c>
      <c r="D64">
        <v>0.67</v>
      </c>
      <c r="E64">
        <v>6.7855608440212996E-28</v>
      </c>
      <c r="F64" t="s">
        <v>195</v>
      </c>
      <c r="G64" t="s">
        <v>196</v>
      </c>
      <c r="H64" t="s">
        <v>195</v>
      </c>
      <c r="I64" t="str">
        <f>HYPERLINK("https://zfin.org/ZDB-GENE-030131-5493")</f>
        <v>https://zfin.org/ZDB-GENE-030131-5493</v>
      </c>
      <c r="J64" t="s">
        <v>197</v>
      </c>
    </row>
    <row r="65" spans="1:10" x14ac:dyDescent="0.2">
      <c r="A65">
        <v>5.7889551118719401E-32</v>
      </c>
      <c r="B65">
        <v>-0.79139705933644799</v>
      </c>
      <c r="C65">
        <v>0.874</v>
      </c>
      <c r="D65">
        <v>0.89800000000000002</v>
      </c>
      <c r="E65">
        <v>8.9630391997113299E-28</v>
      </c>
      <c r="F65" t="s">
        <v>198</v>
      </c>
      <c r="G65" t="s">
        <v>199</v>
      </c>
      <c r="H65" t="s">
        <v>198</v>
      </c>
      <c r="I65" t="str">
        <f>HYPERLINK("https://zfin.org/ZDB-GENE-990712-18")</f>
        <v>https://zfin.org/ZDB-GENE-990712-18</v>
      </c>
      <c r="J65" t="s">
        <v>200</v>
      </c>
    </row>
    <row r="66" spans="1:10" x14ac:dyDescent="0.2">
      <c r="A66">
        <v>8.4505660988282395E-32</v>
      </c>
      <c r="B66">
        <v>-1.3163906701127499</v>
      </c>
      <c r="C66">
        <v>0.155</v>
      </c>
      <c r="D66">
        <v>0.6</v>
      </c>
      <c r="E66">
        <v>1.30840114908158E-27</v>
      </c>
      <c r="F66" t="s">
        <v>201</v>
      </c>
      <c r="G66" t="s">
        <v>202</v>
      </c>
      <c r="H66" t="s">
        <v>201</v>
      </c>
      <c r="I66" t="str">
        <f>HYPERLINK("https://zfin.org/ZDB-GENE-990415-229")</f>
        <v>https://zfin.org/ZDB-GENE-990415-229</v>
      </c>
      <c r="J66" t="s">
        <v>203</v>
      </c>
    </row>
    <row r="67" spans="1:10" x14ac:dyDescent="0.2">
      <c r="A67">
        <v>1.7542075818398601E-31</v>
      </c>
      <c r="B67">
        <v>-1.44183837297581</v>
      </c>
      <c r="C67">
        <v>0.70099999999999996</v>
      </c>
      <c r="D67">
        <v>0.83599999999999997</v>
      </c>
      <c r="E67">
        <v>2.7160395989626599E-27</v>
      </c>
      <c r="F67" t="s">
        <v>204</v>
      </c>
      <c r="G67" t="s">
        <v>205</v>
      </c>
      <c r="H67" t="s">
        <v>204</v>
      </c>
      <c r="I67" t="str">
        <f>HYPERLINK("https://zfin.org/")</f>
        <v>https://zfin.org/</v>
      </c>
      <c r="J67" t="s">
        <v>206</v>
      </c>
    </row>
    <row r="68" spans="1:10" x14ac:dyDescent="0.2">
      <c r="A68">
        <v>2.1165081066243398E-31</v>
      </c>
      <c r="B68">
        <v>-0.54308628953912697</v>
      </c>
      <c r="C68">
        <v>0.98299999999999998</v>
      </c>
      <c r="D68">
        <v>0.98399999999999999</v>
      </c>
      <c r="E68">
        <v>3.2769895014864704E-27</v>
      </c>
      <c r="F68" t="s">
        <v>207</v>
      </c>
      <c r="G68" t="s">
        <v>208</v>
      </c>
      <c r="H68" t="s">
        <v>207</v>
      </c>
      <c r="I68" t="str">
        <f>HYPERLINK("https://zfin.org/ZDB-GENE-040426-1033")</f>
        <v>https://zfin.org/ZDB-GENE-040426-1033</v>
      </c>
      <c r="J68" t="s">
        <v>209</v>
      </c>
    </row>
    <row r="69" spans="1:10" x14ac:dyDescent="0.2">
      <c r="A69">
        <v>3.5335820515980599E-31</v>
      </c>
      <c r="B69">
        <v>-0.99182239728170296</v>
      </c>
      <c r="C69">
        <v>0.98299999999999998</v>
      </c>
      <c r="D69">
        <v>0.98099999999999998</v>
      </c>
      <c r="E69">
        <v>5.4710450904892697E-27</v>
      </c>
      <c r="F69" t="s">
        <v>210</v>
      </c>
      <c r="G69" t="s">
        <v>211</v>
      </c>
      <c r="H69" t="s">
        <v>210</v>
      </c>
      <c r="I69" t="str">
        <f>HYPERLINK("https://zfin.org/ZDB-GENE-031222-4")</f>
        <v>https://zfin.org/ZDB-GENE-031222-4</v>
      </c>
      <c r="J69" t="s">
        <v>212</v>
      </c>
    </row>
    <row r="70" spans="1:10" x14ac:dyDescent="0.2">
      <c r="A70">
        <v>4.0160499076528502E-31</v>
      </c>
      <c r="B70">
        <v>-0.50137701409718105</v>
      </c>
      <c r="C70">
        <v>1</v>
      </c>
      <c r="D70">
        <v>0.99099999999999999</v>
      </c>
      <c r="E70">
        <v>6.2180500720189101E-27</v>
      </c>
      <c r="F70" t="s">
        <v>213</v>
      </c>
      <c r="G70" t="s">
        <v>214</v>
      </c>
      <c r="H70" t="s">
        <v>213</v>
      </c>
      <c r="I70" t="str">
        <f>HYPERLINK("https://zfin.org/ZDB-GENE-070928-31")</f>
        <v>https://zfin.org/ZDB-GENE-070928-31</v>
      </c>
      <c r="J70" t="s">
        <v>215</v>
      </c>
    </row>
    <row r="71" spans="1:10" x14ac:dyDescent="0.2">
      <c r="A71">
        <v>5.1102203419770003E-31</v>
      </c>
      <c r="B71">
        <v>-0.52021818135115705</v>
      </c>
      <c r="C71">
        <v>1</v>
      </c>
      <c r="D71">
        <v>0.99199999999999999</v>
      </c>
      <c r="E71">
        <v>7.91215415548298E-27</v>
      </c>
      <c r="F71" t="s">
        <v>216</v>
      </c>
      <c r="G71" t="s">
        <v>217</v>
      </c>
      <c r="H71" t="s">
        <v>216</v>
      </c>
      <c r="I71" t="str">
        <f>HYPERLINK("https://zfin.org/ZDB-GENE-040625-147")</f>
        <v>https://zfin.org/ZDB-GENE-040625-147</v>
      </c>
      <c r="J71" t="s">
        <v>218</v>
      </c>
    </row>
    <row r="72" spans="1:10" x14ac:dyDescent="0.2">
      <c r="A72">
        <v>1.6408848020774898E-30</v>
      </c>
      <c r="B72">
        <v>-2.1433283452048002</v>
      </c>
      <c r="C72">
        <v>0.69499999999999995</v>
      </c>
      <c r="D72">
        <v>0.78800000000000003</v>
      </c>
      <c r="E72">
        <v>2.54058193905659E-26</v>
      </c>
      <c r="F72" t="s">
        <v>219</v>
      </c>
      <c r="G72" t="s">
        <v>220</v>
      </c>
      <c r="H72" t="s">
        <v>219</v>
      </c>
      <c r="I72" t="str">
        <f>HYPERLINK("https://zfin.org/ZDB-GENE-121214-200")</f>
        <v>https://zfin.org/ZDB-GENE-121214-200</v>
      </c>
      <c r="J72" t="s">
        <v>221</v>
      </c>
    </row>
    <row r="73" spans="1:10" x14ac:dyDescent="0.2">
      <c r="A73">
        <v>2.6126692134285899E-30</v>
      </c>
      <c r="B73">
        <v>-0.59569827262385999</v>
      </c>
      <c r="C73">
        <v>0.98299999999999998</v>
      </c>
      <c r="D73">
        <v>0.96799999999999997</v>
      </c>
      <c r="E73">
        <v>4.0451957431514902E-26</v>
      </c>
      <c r="F73" t="s">
        <v>222</v>
      </c>
      <c r="G73" t="s">
        <v>223</v>
      </c>
      <c r="H73" t="s">
        <v>222</v>
      </c>
      <c r="I73" t="str">
        <f>HYPERLINK("https://zfin.org/ZDB-GENE-040801-167")</f>
        <v>https://zfin.org/ZDB-GENE-040801-167</v>
      </c>
      <c r="J73" t="s">
        <v>224</v>
      </c>
    </row>
    <row r="74" spans="1:10" x14ac:dyDescent="0.2">
      <c r="A74">
        <v>5.6643678867170097E-30</v>
      </c>
      <c r="B74">
        <v>-1.19551354941665</v>
      </c>
      <c r="C74">
        <v>0.36799999999999999</v>
      </c>
      <c r="D74">
        <v>0.68</v>
      </c>
      <c r="E74">
        <v>8.7701407990039504E-26</v>
      </c>
      <c r="F74" t="s">
        <v>225</v>
      </c>
      <c r="G74" t="s">
        <v>226</v>
      </c>
      <c r="H74" t="s">
        <v>225</v>
      </c>
      <c r="I74" t="str">
        <f>HYPERLINK("https://zfin.org/ZDB-GENE-000208-17")</f>
        <v>https://zfin.org/ZDB-GENE-000208-17</v>
      </c>
      <c r="J74" t="s">
        <v>227</v>
      </c>
    </row>
    <row r="75" spans="1:10" x14ac:dyDescent="0.2">
      <c r="A75">
        <v>6.5481893154355404E-30</v>
      </c>
      <c r="B75">
        <v>-0.480070598941994</v>
      </c>
      <c r="C75">
        <v>1</v>
      </c>
      <c r="D75">
        <v>0.97699999999999998</v>
      </c>
      <c r="E75">
        <v>1.01385615170888E-25</v>
      </c>
      <c r="F75" t="s">
        <v>228</v>
      </c>
      <c r="G75" t="s">
        <v>229</v>
      </c>
      <c r="H75" t="s">
        <v>228</v>
      </c>
      <c r="I75" t="str">
        <f>HYPERLINK("https://zfin.org/ZDB-GENE-031018-2")</f>
        <v>https://zfin.org/ZDB-GENE-031018-2</v>
      </c>
      <c r="J75" t="s">
        <v>230</v>
      </c>
    </row>
    <row r="76" spans="1:10" x14ac:dyDescent="0.2">
      <c r="A76">
        <v>1.13203463537153E-29</v>
      </c>
      <c r="B76">
        <v>-0.487197778324092</v>
      </c>
      <c r="C76">
        <v>1</v>
      </c>
      <c r="D76">
        <v>0.999</v>
      </c>
      <c r="E76">
        <v>1.7527292259457401E-25</v>
      </c>
      <c r="F76" t="s">
        <v>231</v>
      </c>
      <c r="G76" t="s">
        <v>232</v>
      </c>
      <c r="H76" t="s">
        <v>231</v>
      </c>
      <c r="I76" t="str">
        <f>HYPERLINK("https://zfin.org/ZDB-GENE-030131-7528")</f>
        <v>https://zfin.org/ZDB-GENE-030131-7528</v>
      </c>
      <c r="J76" t="s">
        <v>233</v>
      </c>
    </row>
    <row r="77" spans="1:10" x14ac:dyDescent="0.2">
      <c r="A77">
        <v>1.6133960926580101E-29</v>
      </c>
      <c r="B77">
        <v>-1.27640386304176</v>
      </c>
      <c r="C77">
        <v>0.14399999999999999</v>
      </c>
      <c r="D77">
        <v>0.57599999999999996</v>
      </c>
      <c r="E77">
        <v>2.4980211702623998E-25</v>
      </c>
      <c r="F77" t="s">
        <v>234</v>
      </c>
      <c r="G77" t="s">
        <v>235</v>
      </c>
      <c r="H77" t="s">
        <v>234</v>
      </c>
      <c r="I77" t="str">
        <f>HYPERLINK("https://zfin.org/ZDB-GENE-040426-1362")</f>
        <v>https://zfin.org/ZDB-GENE-040426-1362</v>
      </c>
      <c r="J77" t="s">
        <v>236</v>
      </c>
    </row>
    <row r="78" spans="1:10" x14ac:dyDescent="0.2">
      <c r="A78">
        <v>1.0831908420924401E-28</v>
      </c>
      <c r="B78">
        <v>-1.4514505603865699</v>
      </c>
      <c r="C78">
        <v>0.379</v>
      </c>
      <c r="D78">
        <v>0.67</v>
      </c>
      <c r="E78">
        <v>1.67710438081172E-24</v>
      </c>
      <c r="F78" t="s">
        <v>237</v>
      </c>
      <c r="G78" t="s">
        <v>238</v>
      </c>
      <c r="H78" t="s">
        <v>237</v>
      </c>
      <c r="I78" t="str">
        <f>HYPERLINK("https://zfin.org/ZDB-GENE-040426-2931")</f>
        <v>https://zfin.org/ZDB-GENE-040426-2931</v>
      </c>
      <c r="J78" t="s">
        <v>239</v>
      </c>
    </row>
    <row r="79" spans="1:10" x14ac:dyDescent="0.2">
      <c r="A79">
        <v>1.6458454497850701E-28</v>
      </c>
      <c r="B79">
        <v>-0.60657196905094701</v>
      </c>
      <c r="C79">
        <v>0.96</v>
      </c>
      <c r="D79">
        <v>0.94399999999999995</v>
      </c>
      <c r="E79">
        <v>2.5482625099022301E-24</v>
      </c>
      <c r="F79" t="s">
        <v>240</v>
      </c>
      <c r="G79" t="s">
        <v>241</v>
      </c>
      <c r="H79" t="s">
        <v>240</v>
      </c>
      <c r="I79" t="str">
        <f>HYPERLINK("https://zfin.org/ZDB-GENE-040718-190")</f>
        <v>https://zfin.org/ZDB-GENE-040718-190</v>
      </c>
      <c r="J79" t="s">
        <v>242</v>
      </c>
    </row>
    <row r="80" spans="1:10" x14ac:dyDescent="0.2">
      <c r="A80">
        <v>5.49740322105908E-28</v>
      </c>
      <c r="B80">
        <v>-1.23138813546748</v>
      </c>
      <c r="C80">
        <v>0.379</v>
      </c>
      <c r="D80">
        <v>0.67</v>
      </c>
      <c r="E80">
        <v>8.5116294071657701E-24</v>
      </c>
      <c r="F80" t="s">
        <v>243</v>
      </c>
      <c r="G80" t="s">
        <v>244</v>
      </c>
      <c r="H80" t="s">
        <v>243</v>
      </c>
      <c r="I80" t="str">
        <f>HYPERLINK("https://zfin.org/ZDB-GENE-011109-1")</f>
        <v>https://zfin.org/ZDB-GENE-011109-1</v>
      </c>
      <c r="J80" t="s">
        <v>245</v>
      </c>
    </row>
    <row r="81" spans="1:10" x14ac:dyDescent="0.2">
      <c r="A81">
        <v>6.9156384001367703E-28</v>
      </c>
      <c r="B81">
        <v>-1.4368881809066401</v>
      </c>
      <c r="C81">
        <v>0.24099999999999999</v>
      </c>
      <c r="D81">
        <v>0.59699999999999998</v>
      </c>
      <c r="E81">
        <v>1.07074829349318E-23</v>
      </c>
      <c r="F81" t="s">
        <v>246</v>
      </c>
      <c r="G81" t="s">
        <v>247</v>
      </c>
      <c r="H81" t="s">
        <v>246</v>
      </c>
      <c r="I81" t="str">
        <f>HYPERLINK("https://zfin.org/ZDB-GENE-040426-2720")</f>
        <v>https://zfin.org/ZDB-GENE-040426-2720</v>
      </c>
      <c r="J81" t="s">
        <v>248</v>
      </c>
    </row>
    <row r="82" spans="1:10" x14ac:dyDescent="0.2">
      <c r="A82">
        <v>1.0982883219607199E-27</v>
      </c>
      <c r="B82">
        <v>-1.4833007312311299</v>
      </c>
      <c r="C82">
        <v>0.161</v>
      </c>
      <c r="D82">
        <v>0.55500000000000005</v>
      </c>
      <c r="E82">
        <v>1.70047980889178E-23</v>
      </c>
      <c r="F82" t="s">
        <v>249</v>
      </c>
      <c r="G82" t="s">
        <v>250</v>
      </c>
      <c r="H82" t="s">
        <v>249</v>
      </c>
      <c r="I82" t="str">
        <f>HYPERLINK("https://zfin.org/ZDB-GENE-141212-380")</f>
        <v>https://zfin.org/ZDB-GENE-141212-380</v>
      </c>
      <c r="J82" t="s">
        <v>251</v>
      </c>
    </row>
    <row r="83" spans="1:10" x14ac:dyDescent="0.2">
      <c r="A83">
        <v>1.26263129563116E-27</v>
      </c>
      <c r="B83">
        <v>-1.1735590990545499</v>
      </c>
      <c r="C83">
        <v>0.17199999999999999</v>
      </c>
      <c r="D83">
        <v>0.57099999999999995</v>
      </c>
      <c r="E83">
        <v>1.9549320350257301E-23</v>
      </c>
      <c r="F83" t="s">
        <v>252</v>
      </c>
      <c r="G83" t="s">
        <v>253</v>
      </c>
      <c r="H83" t="s">
        <v>252</v>
      </c>
      <c r="I83" t="str">
        <f>HYPERLINK("https://zfin.org/ZDB-GENE-110411-217")</f>
        <v>https://zfin.org/ZDB-GENE-110411-217</v>
      </c>
      <c r="J83" t="s">
        <v>254</v>
      </c>
    </row>
    <row r="84" spans="1:10" x14ac:dyDescent="0.2">
      <c r="A84">
        <v>2.3497344520768799E-27</v>
      </c>
      <c r="B84">
        <v>-0.490248657845201</v>
      </c>
      <c r="C84">
        <v>1</v>
      </c>
      <c r="D84">
        <v>0.99</v>
      </c>
      <c r="E84">
        <v>3.6380938521506302E-23</v>
      </c>
      <c r="F84" t="s">
        <v>255</v>
      </c>
      <c r="G84" t="s">
        <v>256</v>
      </c>
      <c r="H84" t="s">
        <v>255</v>
      </c>
      <c r="I84" t="str">
        <f>HYPERLINK("https://zfin.org/ZDB-GENE-030131-2022")</f>
        <v>https://zfin.org/ZDB-GENE-030131-2022</v>
      </c>
      <c r="J84" t="s">
        <v>257</v>
      </c>
    </row>
    <row r="85" spans="1:10" x14ac:dyDescent="0.2">
      <c r="A85">
        <v>2.84766337676538E-27</v>
      </c>
      <c r="B85">
        <v>-0.46007439090542701</v>
      </c>
      <c r="C85">
        <v>0.99399999999999999</v>
      </c>
      <c r="D85">
        <v>0.98899999999999999</v>
      </c>
      <c r="E85">
        <v>4.4090372062458401E-23</v>
      </c>
      <c r="F85" t="s">
        <v>258</v>
      </c>
      <c r="G85" t="s">
        <v>259</v>
      </c>
      <c r="H85" t="s">
        <v>258</v>
      </c>
      <c r="I85" t="str">
        <f>HYPERLINK("https://zfin.org/ZDB-GENE-040622-2")</f>
        <v>https://zfin.org/ZDB-GENE-040622-2</v>
      </c>
      <c r="J85" t="s">
        <v>260</v>
      </c>
    </row>
    <row r="86" spans="1:10" x14ac:dyDescent="0.2">
      <c r="A86">
        <v>5.30035799314991E-27</v>
      </c>
      <c r="B86">
        <v>-1.7726149308674899</v>
      </c>
      <c r="C86">
        <v>0.21299999999999999</v>
      </c>
      <c r="D86">
        <v>0.57499999999999996</v>
      </c>
      <c r="E86">
        <v>8.2065442807939995E-23</v>
      </c>
      <c r="F86" t="s">
        <v>261</v>
      </c>
      <c r="G86" t="s">
        <v>262</v>
      </c>
      <c r="H86" t="s">
        <v>261</v>
      </c>
      <c r="I86" t="str">
        <f>HYPERLINK("https://zfin.org/ZDB-GENE-030131-2159")</f>
        <v>https://zfin.org/ZDB-GENE-030131-2159</v>
      </c>
      <c r="J86" t="s">
        <v>263</v>
      </c>
    </row>
    <row r="87" spans="1:10" x14ac:dyDescent="0.2">
      <c r="A87">
        <v>6.53582036204937E-27</v>
      </c>
      <c r="B87">
        <v>-1.5240563364578701</v>
      </c>
      <c r="C87">
        <v>0.20699999999999999</v>
      </c>
      <c r="D87">
        <v>0.57399999999999995</v>
      </c>
      <c r="E87">
        <v>1.0119410666561E-22</v>
      </c>
      <c r="F87" t="s">
        <v>264</v>
      </c>
      <c r="G87" t="s">
        <v>265</v>
      </c>
      <c r="H87" t="s">
        <v>264</v>
      </c>
      <c r="I87" t="str">
        <f>HYPERLINK("https://zfin.org/ZDB-GENE-050320-109")</f>
        <v>https://zfin.org/ZDB-GENE-050320-109</v>
      </c>
      <c r="J87" t="s">
        <v>266</v>
      </c>
    </row>
    <row r="88" spans="1:10" x14ac:dyDescent="0.2">
      <c r="A88">
        <v>1.21773673221407E-26</v>
      </c>
      <c r="B88">
        <v>-0.49512207428758298</v>
      </c>
      <c r="C88">
        <v>0.98899999999999999</v>
      </c>
      <c r="D88">
        <v>0.97699999999999998</v>
      </c>
      <c r="E88">
        <v>1.8854217824870499E-22</v>
      </c>
      <c r="F88" t="s">
        <v>267</v>
      </c>
      <c r="G88" t="s">
        <v>268</v>
      </c>
      <c r="H88" t="s">
        <v>267</v>
      </c>
      <c r="I88" t="str">
        <f>HYPERLINK("https://zfin.org/ZDB-GENE-040801-165")</f>
        <v>https://zfin.org/ZDB-GENE-040801-165</v>
      </c>
      <c r="J88" t="s">
        <v>269</v>
      </c>
    </row>
    <row r="89" spans="1:10" x14ac:dyDescent="0.2">
      <c r="A89">
        <v>1.64417342390477E-26</v>
      </c>
      <c r="B89">
        <v>-0.48159134044688101</v>
      </c>
      <c r="C89">
        <v>0.98899999999999999</v>
      </c>
      <c r="D89">
        <v>0.98099999999999998</v>
      </c>
      <c r="E89">
        <v>2.5456737122317598E-22</v>
      </c>
      <c r="F89" t="s">
        <v>270</v>
      </c>
      <c r="G89" t="s">
        <v>271</v>
      </c>
      <c r="H89" t="s">
        <v>270</v>
      </c>
      <c r="I89" t="str">
        <f>HYPERLINK("https://zfin.org/ZDB-GENE-040426-2117")</f>
        <v>https://zfin.org/ZDB-GENE-040426-2117</v>
      </c>
      <c r="J89" t="s">
        <v>272</v>
      </c>
    </row>
    <row r="90" spans="1:10" x14ac:dyDescent="0.2">
      <c r="A90">
        <v>1.6986598256889801E-26</v>
      </c>
      <c r="B90">
        <v>-0.55046544060595304</v>
      </c>
      <c r="C90">
        <v>0.97099999999999997</v>
      </c>
      <c r="D90">
        <v>0.93500000000000005</v>
      </c>
      <c r="E90">
        <v>2.63003500811424E-22</v>
      </c>
      <c r="F90" t="s">
        <v>273</v>
      </c>
      <c r="G90" t="s">
        <v>274</v>
      </c>
      <c r="H90" t="s">
        <v>273</v>
      </c>
      <c r="I90" t="str">
        <f>HYPERLINK("https://zfin.org/ZDB-GENE-040930-10")</f>
        <v>https://zfin.org/ZDB-GENE-040930-10</v>
      </c>
      <c r="J90" t="s">
        <v>275</v>
      </c>
    </row>
    <row r="91" spans="1:10" x14ac:dyDescent="0.2">
      <c r="A91">
        <v>1.94350663449633E-26</v>
      </c>
      <c r="B91">
        <v>-0.59413417856321205</v>
      </c>
      <c r="C91">
        <v>0.96</v>
      </c>
      <c r="D91">
        <v>0.92800000000000005</v>
      </c>
      <c r="E91">
        <v>3.00913132219066E-22</v>
      </c>
      <c r="F91" t="s">
        <v>276</v>
      </c>
      <c r="G91" t="s">
        <v>277</v>
      </c>
      <c r="H91" t="s">
        <v>276</v>
      </c>
      <c r="I91" t="str">
        <f>HYPERLINK("https://zfin.org/ZDB-GENE-020419-2")</f>
        <v>https://zfin.org/ZDB-GENE-020419-2</v>
      </c>
      <c r="J91" t="s">
        <v>278</v>
      </c>
    </row>
    <row r="92" spans="1:10" x14ac:dyDescent="0.2">
      <c r="A92">
        <v>2.7563642425432099E-26</v>
      </c>
      <c r="B92">
        <v>-1.3717955326087501</v>
      </c>
      <c r="C92">
        <v>0.621</v>
      </c>
      <c r="D92">
        <v>0.73899999999999999</v>
      </c>
      <c r="E92">
        <v>4.2676787567296496E-22</v>
      </c>
      <c r="F92" t="s">
        <v>279</v>
      </c>
      <c r="G92" t="s">
        <v>280</v>
      </c>
      <c r="H92" t="s">
        <v>279</v>
      </c>
      <c r="I92" t="str">
        <f>HYPERLINK("https://zfin.org/ZDB-GENE-030131-8575")</f>
        <v>https://zfin.org/ZDB-GENE-030131-8575</v>
      </c>
      <c r="J92" t="s">
        <v>281</v>
      </c>
    </row>
    <row r="93" spans="1:10" x14ac:dyDescent="0.2">
      <c r="A93">
        <v>9.2498810428745596E-26</v>
      </c>
      <c r="B93">
        <v>-1.29535822601978</v>
      </c>
      <c r="C93">
        <v>0.17799999999999999</v>
      </c>
      <c r="D93">
        <v>0.55800000000000005</v>
      </c>
      <c r="E93">
        <v>1.43215908186827E-21</v>
      </c>
      <c r="F93" t="s">
        <v>282</v>
      </c>
      <c r="G93" t="s">
        <v>283</v>
      </c>
      <c r="H93" t="s">
        <v>282</v>
      </c>
      <c r="I93" t="str">
        <f>HYPERLINK("https://zfin.org/ZDB-GENE-041114-138")</f>
        <v>https://zfin.org/ZDB-GENE-041114-138</v>
      </c>
      <c r="J93" t="s">
        <v>284</v>
      </c>
    </row>
    <row r="94" spans="1:10" x14ac:dyDescent="0.2">
      <c r="A94">
        <v>1.9218254446803501E-25</v>
      </c>
      <c r="B94">
        <v>-0.50469467652310795</v>
      </c>
      <c r="C94">
        <v>0.97699999999999998</v>
      </c>
      <c r="D94">
        <v>0.96099999999999997</v>
      </c>
      <c r="E94">
        <v>2.9755623359985898E-21</v>
      </c>
      <c r="F94" t="s">
        <v>285</v>
      </c>
      <c r="G94" t="s">
        <v>286</v>
      </c>
      <c r="H94" t="s">
        <v>285</v>
      </c>
      <c r="I94" t="str">
        <f>HYPERLINK("https://zfin.org/ZDB-GENE-030131-8626")</f>
        <v>https://zfin.org/ZDB-GENE-030131-8626</v>
      </c>
      <c r="J94" t="s">
        <v>287</v>
      </c>
    </row>
    <row r="95" spans="1:10" x14ac:dyDescent="0.2">
      <c r="A95">
        <v>1.9934815829380199E-25</v>
      </c>
      <c r="B95">
        <v>-0.50507015410531797</v>
      </c>
      <c r="C95">
        <v>1</v>
      </c>
      <c r="D95">
        <v>0.97</v>
      </c>
      <c r="E95">
        <v>3.0865075348629302E-21</v>
      </c>
      <c r="F95" t="s">
        <v>288</v>
      </c>
      <c r="G95" t="s">
        <v>289</v>
      </c>
      <c r="H95" t="s">
        <v>288</v>
      </c>
      <c r="I95" t="str">
        <f>HYPERLINK("https://zfin.org/ZDB-GENE-030131-8708")</f>
        <v>https://zfin.org/ZDB-GENE-030131-8708</v>
      </c>
      <c r="J95" t="s">
        <v>290</v>
      </c>
    </row>
    <row r="96" spans="1:10" x14ac:dyDescent="0.2">
      <c r="A96">
        <v>2.02496042690887E-25</v>
      </c>
      <c r="B96">
        <v>-0.54933598031761399</v>
      </c>
      <c r="C96">
        <v>0.95399999999999996</v>
      </c>
      <c r="D96">
        <v>0.97</v>
      </c>
      <c r="E96">
        <v>3.135246228983E-21</v>
      </c>
      <c r="F96" t="s">
        <v>291</v>
      </c>
      <c r="G96" t="s">
        <v>292</v>
      </c>
      <c r="H96" t="s">
        <v>291</v>
      </c>
      <c r="I96" t="str">
        <f>HYPERLINK("https://zfin.org/ZDB-GENE-070327-2")</f>
        <v>https://zfin.org/ZDB-GENE-070327-2</v>
      </c>
      <c r="J96" t="s">
        <v>293</v>
      </c>
    </row>
    <row r="97" spans="1:10" x14ac:dyDescent="0.2">
      <c r="A97">
        <v>2.3200047601452699E-25</v>
      </c>
      <c r="B97">
        <v>-0.58074122275588103</v>
      </c>
      <c r="C97">
        <v>0.95399999999999996</v>
      </c>
      <c r="D97">
        <v>0.92900000000000005</v>
      </c>
      <c r="E97">
        <v>3.5920633701329202E-21</v>
      </c>
      <c r="F97" t="s">
        <v>294</v>
      </c>
      <c r="G97" t="s">
        <v>295</v>
      </c>
      <c r="H97" t="s">
        <v>294</v>
      </c>
      <c r="I97" t="str">
        <f>HYPERLINK("https://zfin.org/ZDB-GENE-030131-5297")</f>
        <v>https://zfin.org/ZDB-GENE-030131-5297</v>
      </c>
      <c r="J97" t="s">
        <v>296</v>
      </c>
    </row>
    <row r="98" spans="1:10" x14ac:dyDescent="0.2">
      <c r="A98">
        <v>3.38743336373177E-25</v>
      </c>
      <c r="B98">
        <v>-1.2531765551056899</v>
      </c>
      <c r="C98">
        <v>0.24099999999999999</v>
      </c>
      <c r="D98">
        <v>0.58699999999999997</v>
      </c>
      <c r="E98">
        <v>5.2447630770659004E-21</v>
      </c>
      <c r="F98" t="s">
        <v>297</v>
      </c>
      <c r="G98" t="s">
        <v>298</v>
      </c>
      <c r="H98" t="s">
        <v>297</v>
      </c>
      <c r="I98" t="str">
        <f>HYPERLINK("https://zfin.org/ZDB-GENE-051023-8")</f>
        <v>https://zfin.org/ZDB-GENE-051023-8</v>
      </c>
      <c r="J98" t="s">
        <v>299</v>
      </c>
    </row>
    <row r="99" spans="1:10" x14ac:dyDescent="0.2">
      <c r="A99">
        <v>6.1707519676839296E-25</v>
      </c>
      <c r="B99">
        <v>-0.54639636096250899</v>
      </c>
      <c r="C99">
        <v>0.93700000000000006</v>
      </c>
      <c r="D99">
        <v>0.95699999999999996</v>
      </c>
      <c r="E99">
        <v>9.5541752715650306E-21</v>
      </c>
      <c r="F99" t="s">
        <v>300</v>
      </c>
      <c r="G99" t="s">
        <v>301</v>
      </c>
      <c r="H99" t="s">
        <v>300</v>
      </c>
      <c r="I99" t="str">
        <f>HYPERLINK("https://zfin.org/ZDB-GENE-030131-8752")</f>
        <v>https://zfin.org/ZDB-GENE-030131-8752</v>
      </c>
      <c r="J99" t="s">
        <v>302</v>
      </c>
    </row>
    <row r="100" spans="1:10" x14ac:dyDescent="0.2">
      <c r="A100">
        <v>1.01844678171536E-24</v>
      </c>
      <c r="B100">
        <v>-0.51396839310425102</v>
      </c>
      <c r="C100">
        <v>0.98899999999999999</v>
      </c>
      <c r="D100">
        <v>0.94</v>
      </c>
      <c r="E100">
        <v>1.5768611521298901E-20</v>
      </c>
      <c r="F100" t="s">
        <v>303</v>
      </c>
      <c r="G100" t="s">
        <v>304</v>
      </c>
      <c r="H100" t="s">
        <v>303</v>
      </c>
      <c r="I100" t="str">
        <f>HYPERLINK("https://zfin.org/ZDB-GENE-030131-2025")</f>
        <v>https://zfin.org/ZDB-GENE-030131-2025</v>
      </c>
      <c r="J100" t="s">
        <v>305</v>
      </c>
    </row>
    <row r="101" spans="1:10" x14ac:dyDescent="0.2">
      <c r="A101">
        <v>1.08388723209451E-24</v>
      </c>
      <c r="B101">
        <v>-1.6373805457936099</v>
      </c>
      <c r="C101">
        <v>0.23599999999999999</v>
      </c>
      <c r="D101">
        <v>0.56999999999999995</v>
      </c>
      <c r="E101">
        <v>1.67818260145193E-20</v>
      </c>
      <c r="F101" t="s">
        <v>306</v>
      </c>
      <c r="G101" t="s">
        <v>307</v>
      </c>
      <c r="H101" t="s">
        <v>306</v>
      </c>
      <c r="I101" t="str">
        <f>HYPERLINK("https://zfin.org/ZDB-GENE-141215-49")</f>
        <v>https://zfin.org/ZDB-GENE-141215-49</v>
      </c>
      <c r="J101" t="s">
        <v>308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93E0F-177C-B446-BE0A-C78F19FC4EF2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65.66406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5.8924666607238202E-25</v>
      </c>
      <c r="B2">
        <v>2.1706839741867099</v>
      </c>
      <c r="C2">
        <v>1</v>
      </c>
      <c r="D2">
        <v>1</v>
      </c>
      <c r="E2">
        <v>9.1233061307986898E-21</v>
      </c>
      <c r="F2" t="s">
        <v>830</v>
      </c>
      <c r="G2" t="s">
        <v>831</v>
      </c>
      <c r="H2" t="s">
        <v>830</v>
      </c>
      <c r="I2" t="str">
        <f>HYPERLINK("https://zfin.org/ZDB-GENE-030805-3")</f>
        <v>https://zfin.org/ZDB-GENE-030805-3</v>
      </c>
      <c r="J2" t="s">
        <v>829</v>
      </c>
    </row>
    <row r="3" spans="1:10" x14ac:dyDescent="0.2">
      <c r="A3">
        <v>4.8522713168064003E-24</v>
      </c>
      <c r="B3">
        <v>2.1225049769345601</v>
      </c>
      <c r="C3">
        <v>1</v>
      </c>
      <c r="D3">
        <v>0.66700000000000004</v>
      </c>
      <c r="E3">
        <v>7.5127716798113394E-20</v>
      </c>
      <c r="F3" t="s">
        <v>827</v>
      </c>
      <c r="G3" t="s">
        <v>828</v>
      </c>
      <c r="H3" t="s">
        <v>827</v>
      </c>
      <c r="I3" t="str">
        <f>HYPERLINK("https://zfin.org/ZDB-GENE-080220-29")</f>
        <v>https://zfin.org/ZDB-GENE-080220-29</v>
      </c>
      <c r="J3" t="s">
        <v>826</v>
      </c>
    </row>
    <row r="4" spans="1:10" x14ac:dyDescent="0.2">
      <c r="A4">
        <v>5.2476914550470802E-23</v>
      </c>
      <c r="B4">
        <v>1.7878139579163801</v>
      </c>
      <c r="C4">
        <v>0.93</v>
      </c>
      <c r="D4">
        <v>8.3000000000000004E-2</v>
      </c>
      <c r="E4">
        <v>8.1250006798493897E-19</v>
      </c>
      <c r="F4" t="s">
        <v>435</v>
      </c>
      <c r="G4" t="s">
        <v>436</v>
      </c>
      <c r="H4" t="s">
        <v>435</v>
      </c>
      <c r="I4" t="str">
        <f>HYPERLINK("https://zfin.org/ZDB-GENE-060526-265")</f>
        <v>https://zfin.org/ZDB-GENE-060526-265</v>
      </c>
      <c r="J4" t="s">
        <v>434</v>
      </c>
    </row>
    <row r="5" spans="1:10" x14ac:dyDescent="0.2">
      <c r="A5">
        <v>3.0709147804555199E-20</v>
      </c>
      <c r="B5">
        <v>1.4763708864307701</v>
      </c>
      <c r="C5">
        <v>0.97399999999999998</v>
      </c>
      <c r="D5">
        <v>0.61699999999999999</v>
      </c>
      <c r="E5">
        <v>4.75469735457928E-16</v>
      </c>
      <c r="F5" t="s">
        <v>824</v>
      </c>
      <c r="G5" t="s">
        <v>825</v>
      </c>
      <c r="H5" t="s">
        <v>824</v>
      </c>
      <c r="I5" t="str">
        <f>HYPERLINK("https://zfin.org/ZDB-GENE-131127-224")</f>
        <v>https://zfin.org/ZDB-GENE-131127-224</v>
      </c>
      <c r="J5" t="s">
        <v>823</v>
      </c>
    </row>
    <row r="6" spans="1:10" x14ac:dyDescent="0.2">
      <c r="A6">
        <v>4.31947370921637E-20</v>
      </c>
      <c r="B6">
        <v>1.2161451820706699</v>
      </c>
      <c r="C6">
        <v>0.99099999999999999</v>
      </c>
      <c r="D6">
        <v>0.85</v>
      </c>
      <c r="E6">
        <v>6.6878411439796999E-16</v>
      </c>
      <c r="F6" t="s">
        <v>821</v>
      </c>
      <c r="G6" t="s">
        <v>822</v>
      </c>
      <c r="H6" t="s">
        <v>821</v>
      </c>
      <c r="I6" t="str">
        <f>HYPERLINK("https://zfin.org/ZDB-GENE-000511-7")</f>
        <v>https://zfin.org/ZDB-GENE-000511-7</v>
      </c>
      <c r="J6" t="s">
        <v>820</v>
      </c>
    </row>
    <row r="7" spans="1:10" x14ac:dyDescent="0.2">
      <c r="A7">
        <v>2.4389633552218E-19</v>
      </c>
      <c r="B7">
        <v>1.2192727600765301</v>
      </c>
      <c r="C7">
        <v>0.99099999999999999</v>
      </c>
      <c r="D7">
        <v>0.56699999999999995</v>
      </c>
      <c r="E7">
        <v>3.7762469628899197E-15</v>
      </c>
      <c r="F7" t="s">
        <v>818</v>
      </c>
      <c r="G7" t="s">
        <v>819</v>
      </c>
      <c r="H7" t="s">
        <v>818</v>
      </c>
      <c r="I7" t="str">
        <f>HYPERLINK("https://zfin.org/ZDB-GENE-131121-428")</f>
        <v>https://zfin.org/ZDB-GENE-131121-428</v>
      </c>
      <c r="J7" t="s">
        <v>817</v>
      </c>
    </row>
    <row r="8" spans="1:10" x14ac:dyDescent="0.2">
      <c r="A8">
        <v>3.7521129950799701E-18</v>
      </c>
      <c r="B8">
        <v>1.7093683828256701</v>
      </c>
      <c r="C8">
        <v>0.76300000000000001</v>
      </c>
      <c r="D8">
        <v>3.3000000000000002E-2</v>
      </c>
      <c r="E8">
        <v>5.8093965502823104E-14</v>
      </c>
      <c r="F8" t="s">
        <v>815</v>
      </c>
      <c r="G8" t="s">
        <v>816</v>
      </c>
      <c r="H8" t="s">
        <v>815</v>
      </c>
      <c r="I8" t="str">
        <f>HYPERLINK("https://zfin.org/ZDB-GENE-080130-2")</f>
        <v>https://zfin.org/ZDB-GENE-080130-2</v>
      </c>
      <c r="J8" t="s">
        <v>814</v>
      </c>
    </row>
    <row r="9" spans="1:10" x14ac:dyDescent="0.2">
      <c r="A9">
        <v>1.3519560238204999E-17</v>
      </c>
      <c r="B9">
        <v>1.6606801531156099</v>
      </c>
      <c r="C9">
        <v>0.85099999999999998</v>
      </c>
      <c r="D9">
        <v>0.217</v>
      </c>
      <c r="E9">
        <v>2.09323351168129E-13</v>
      </c>
      <c r="F9" t="s">
        <v>812</v>
      </c>
      <c r="G9" t="s">
        <v>813</v>
      </c>
      <c r="H9" t="s">
        <v>812</v>
      </c>
      <c r="I9" t="str">
        <f>HYPERLINK("https://zfin.org/ZDB-GENE-040310-2")</f>
        <v>https://zfin.org/ZDB-GENE-040310-2</v>
      </c>
      <c r="J9" t="s">
        <v>811</v>
      </c>
    </row>
    <row r="10" spans="1:10" x14ac:dyDescent="0.2">
      <c r="A10">
        <v>1.50626654825756E-17</v>
      </c>
      <c r="B10">
        <v>1.4035835539697901</v>
      </c>
      <c r="C10">
        <v>0.76300000000000001</v>
      </c>
      <c r="D10">
        <v>0.05</v>
      </c>
      <c r="E10">
        <v>2.3321524966671798E-13</v>
      </c>
      <c r="F10" t="s">
        <v>809</v>
      </c>
      <c r="G10" t="s">
        <v>810</v>
      </c>
      <c r="H10" t="s">
        <v>809</v>
      </c>
      <c r="I10" t="str">
        <f>HYPERLINK("https://zfin.org/ZDB-GENE-050417-380")</f>
        <v>https://zfin.org/ZDB-GENE-050417-380</v>
      </c>
      <c r="J10" t="s">
        <v>808</v>
      </c>
    </row>
    <row r="11" spans="1:10" x14ac:dyDescent="0.2">
      <c r="A11">
        <v>3.1204558346244502E-17</v>
      </c>
      <c r="B11">
        <v>1.2633574330442401</v>
      </c>
      <c r="C11">
        <v>0.83299999999999996</v>
      </c>
      <c r="D11">
        <v>0.15</v>
      </c>
      <c r="E11">
        <v>4.83140176874903E-13</v>
      </c>
      <c r="F11" t="s">
        <v>806</v>
      </c>
      <c r="G11" t="s">
        <v>807</v>
      </c>
      <c r="H11" t="s">
        <v>806</v>
      </c>
      <c r="I11" t="str">
        <f>HYPERLINK("https://zfin.org/ZDB-GENE-060929-368")</f>
        <v>https://zfin.org/ZDB-GENE-060929-368</v>
      </c>
      <c r="J11" t="s">
        <v>805</v>
      </c>
    </row>
    <row r="12" spans="1:10" x14ac:dyDescent="0.2">
      <c r="A12">
        <v>5.5845068280456195E-17</v>
      </c>
      <c r="B12">
        <v>1.19574006693063</v>
      </c>
      <c r="C12">
        <v>0.80700000000000005</v>
      </c>
      <c r="D12">
        <v>8.3000000000000004E-2</v>
      </c>
      <c r="E12">
        <v>8.64649192186303E-13</v>
      </c>
      <c r="F12" t="s">
        <v>803</v>
      </c>
      <c r="G12" t="s">
        <v>804</v>
      </c>
      <c r="H12" t="s">
        <v>803</v>
      </c>
      <c r="I12" t="str">
        <f>HYPERLINK("https://zfin.org/ZDB-GENE-061027-74")</f>
        <v>https://zfin.org/ZDB-GENE-061027-74</v>
      </c>
      <c r="J12" t="s">
        <v>802</v>
      </c>
    </row>
    <row r="13" spans="1:10" x14ac:dyDescent="0.2">
      <c r="A13">
        <v>1.30791625380221E-16</v>
      </c>
      <c r="B13">
        <v>1.1850506648074199</v>
      </c>
      <c r="C13">
        <v>0.89500000000000002</v>
      </c>
      <c r="D13">
        <v>0.3</v>
      </c>
      <c r="E13">
        <v>2.0250467357619601E-12</v>
      </c>
      <c r="F13" t="s">
        <v>486</v>
      </c>
      <c r="G13" t="s">
        <v>487</v>
      </c>
      <c r="H13" t="s">
        <v>486</v>
      </c>
      <c r="I13" t="str">
        <f>HYPERLINK("https://zfin.org/")</f>
        <v>https://zfin.org/</v>
      </c>
      <c r="J13" t="s">
        <v>485</v>
      </c>
    </row>
    <row r="14" spans="1:10" x14ac:dyDescent="0.2">
      <c r="A14">
        <v>2.0226456183277701E-16</v>
      </c>
      <c r="B14">
        <v>1.30116099920269</v>
      </c>
      <c r="C14">
        <v>0.91200000000000003</v>
      </c>
      <c r="D14">
        <v>0.3</v>
      </c>
      <c r="E14">
        <v>3.1316622108568902E-12</v>
      </c>
      <c r="F14" t="s">
        <v>800</v>
      </c>
      <c r="G14" t="s">
        <v>801</v>
      </c>
      <c r="H14" t="s">
        <v>800</v>
      </c>
      <c r="I14" t="str">
        <f>HYPERLINK("https://zfin.org/ZDB-GENE-030131-7787")</f>
        <v>https://zfin.org/ZDB-GENE-030131-7787</v>
      </c>
      <c r="J14" t="s">
        <v>799</v>
      </c>
    </row>
    <row r="15" spans="1:10" x14ac:dyDescent="0.2">
      <c r="A15">
        <v>4.4272570261690902E-16</v>
      </c>
      <c r="B15">
        <v>1.3300427258048</v>
      </c>
      <c r="C15">
        <v>0.78100000000000003</v>
      </c>
      <c r="D15">
        <v>0.1</v>
      </c>
      <c r="E15">
        <v>6.8547220536175998E-12</v>
      </c>
      <c r="F15" t="s">
        <v>382</v>
      </c>
      <c r="G15" t="s">
        <v>383</v>
      </c>
      <c r="H15" t="s">
        <v>382</v>
      </c>
      <c r="I15" t="str">
        <f>HYPERLINK("https://zfin.org/ZDB-GENE-160114-52")</f>
        <v>https://zfin.org/ZDB-GENE-160114-52</v>
      </c>
      <c r="J15" t="s">
        <v>381</v>
      </c>
    </row>
    <row r="16" spans="1:10" x14ac:dyDescent="0.2">
      <c r="A16">
        <v>7.1618653551245799E-16</v>
      </c>
      <c r="B16">
        <v>1.2934666938144299</v>
      </c>
      <c r="C16">
        <v>0.88600000000000001</v>
      </c>
      <c r="D16">
        <v>0.3</v>
      </c>
      <c r="E16">
        <v>1.1088716129339399E-11</v>
      </c>
      <c r="F16" t="s">
        <v>797</v>
      </c>
      <c r="G16" t="s">
        <v>798</v>
      </c>
      <c r="H16" t="s">
        <v>797</v>
      </c>
      <c r="I16" t="str">
        <f>HYPERLINK("https://zfin.org/ZDB-GENE-020910-1")</f>
        <v>https://zfin.org/ZDB-GENE-020910-1</v>
      </c>
      <c r="J16" t="s">
        <v>796</v>
      </c>
    </row>
    <row r="17" spans="1:10" x14ac:dyDescent="0.2">
      <c r="A17">
        <v>5.1444441868604398E-15</v>
      </c>
      <c r="B17">
        <v>0.99230448801130899</v>
      </c>
      <c r="C17">
        <v>0.83299999999999996</v>
      </c>
      <c r="D17">
        <v>0.183</v>
      </c>
      <c r="E17">
        <v>7.9651429345160299E-11</v>
      </c>
      <c r="F17" t="s">
        <v>423</v>
      </c>
      <c r="G17" t="s">
        <v>424</v>
      </c>
      <c r="H17" t="s">
        <v>423</v>
      </c>
      <c r="I17" t="str">
        <f>HYPERLINK("https://zfin.org/ZDB-GENE-081105-176")</f>
        <v>https://zfin.org/ZDB-GENE-081105-176</v>
      </c>
      <c r="J17" t="s">
        <v>422</v>
      </c>
    </row>
    <row r="18" spans="1:10" x14ac:dyDescent="0.2">
      <c r="A18">
        <v>8.0318348484771302E-15</v>
      </c>
      <c r="B18">
        <v>0.85510101552117201</v>
      </c>
      <c r="C18">
        <v>0.99099999999999999</v>
      </c>
      <c r="D18">
        <v>0.7</v>
      </c>
      <c r="E18">
        <v>1.2435689895897101E-10</v>
      </c>
      <c r="F18" t="s">
        <v>569</v>
      </c>
      <c r="G18" t="s">
        <v>570</v>
      </c>
      <c r="H18" t="s">
        <v>569</v>
      </c>
      <c r="I18" t="str">
        <f>HYPERLINK("https://zfin.org/ZDB-GENE-041010-45")</f>
        <v>https://zfin.org/ZDB-GENE-041010-45</v>
      </c>
      <c r="J18" t="s">
        <v>568</v>
      </c>
    </row>
    <row r="19" spans="1:10" x14ac:dyDescent="0.2">
      <c r="A19">
        <v>1.0572129338263701E-14</v>
      </c>
      <c r="B19">
        <v>0.96539921944941098</v>
      </c>
      <c r="C19">
        <v>0.99099999999999999</v>
      </c>
      <c r="D19">
        <v>0.58299999999999996</v>
      </c>
      <c r="E19">
        <v>1.6368827854433699E-10</v>
      </c>
      <c r="F19" t="s">
        <v>794</v>
      </c>
      <c r="G19" t="s">
        <v>795</v>
      </c>
      <c r="H19" t="s">
        <v>794</v>
      </c>
      <c r="I19" t="str">
        <f>HYPERLINK("https://zfin.org/ZDB-GENE-081028-55")</f>
        <v>https://zfin.org/ZDB-GENE-081028-55</v>
      </c>
      <c r="J19" t="s">
        <v>793</v>
      </c>
    </row>
    <row r="20" spans="1:10" x14ac:dyDescent="0.2">
      <c r="A20">
        <v>1.32295414677152E-14</v>
      </c>
      <c r="B20">
        <v>2.4217093572014798</v>
      </c>
      <c r="C20">
        <v>0.77200000000000002</v>
      </c>
      <c r="D20">
        <v>0.217</v>
      </c>
      <c r="E20">
        <v>2.04832990544634E-10</v>
      </c>
      <c r="F20" t="s">
        <v>791</v>
      </c>
      <c r="G20" t="s">
        <v>792</v>
      </c>
      <c r="H20" t="s">
        <v>791</v>
      </c>
      <c r="I20" t="str">
        <f>HYPERLINK("https://zfin.org/ZDB-GENE-121214-253")</f>
        <v>https://zfin.org/ZDB-GENE-121214-253</v>
      </c>
      <c r="J20" t="s">
        <v>790</v>
      </c>
    </row>
    <row r="21" spans="1:10" x14ac:dyDescent="0.2">
      <c r="A21">
        <v>1.5505984465419899E-14</v>
      </c>
      <c r="B21">
        <v>0.93812523044979301</v>
      </c>
      <c r="C21">
        <v>0.99099999999999999</v>
      </c>
      <c r="D21">
        <v>0.66700000000000004</v>
      </c>
      <c r="E21">
        <v>2.4007915747809701E-10</v>
      </c>
      <c r="F21" t="s">
        <v>788</v>
      </c>
      <c r="G21" t="s">
        <v>789</v>
      </c>
      <c r="H21" t="s">
        <v>788</v>
      </c>
      <c r="I21" t="str">
        <f>HYPERLINK("https://zfin.org/ZDB-GENE-040912-60")</f>
        <v>https://zfin.org/ZDB-GENE-040912-60</v>
      </c>
      <c r="J21" t="s">
        <v>787</v>
      </c>
    </row>
    <row r="22" spans="1:10" x14ac:dyDescent="0.2">
      <c r="A22">
        <v>3.1110607285109898E-14</v>
      </c>
      <c r="B22">
        <v>0.99913042987868395</v>
      </c>
      <c r="C22">
        <v>0.66700000000000004</v>
      </c>
      <c r="D22">
        <v>0.05</v>
      </c>
      <c r="E22">
        <v>4.8168553259535596E-10</v>
      </c>
      <c r="F22" t="s">
        <v>785</v>
      </c>
      <c r="G22" t="s">
        <v>786</v>
      </c>
      <c r="H22" t="s">
        <v>785</v>
      </c>
      <c r="I22" t="str">
        <f>HYPERLINK("https://zfin.org/")</f>
        <v>https://zfin.org/</v>
      </c>
    </row>
    <row r="23" spans="1:10" x14ac:dyDescent="0.2">
      <c r="A23">
        <v>6.5760529519834195E-14</v>
      </c>
      <c r="B23">
        <v>0.94348465679163296</v>
      </c>
      <c r="C23">
        <v>1</v>
      </c>
      <c r="D23">
        <v>0.98299999999999998</v>
      </c>
      <c r="E23">
        <v>1.0181702785555901E-9</v>
      </c>
      <c r="F23" t="s">
        <v>783</v>
      </c>
      <c r="G23" t="s">
        <v>784</v>
      </c>
      <c r="H23" t="s">
        <v>783</v>
      </c>
      <c r="I23" t="str">
        <f>HYPERLINK("https://zfin.org/ZDB-GENE-080722-16")</f>
        <v>https://zfin.org/ZDB-GENE-080722-16</v>
      </c>
      <c r="J23" t="s">
        <v>782</v>
      </c>
    </row>
    <row r="24" spans="1:10" x14ac:dyDescent="0.2">
      <c r="A24">
        <v>1.83169676021829E-13</v>
      </c>
      <c r="B24">
        <v>1.04168077627143</v>
      </c>
      <c r="C24">
        <v>0.94699999999999995</v>
      </c>
      <c r="D24">
        <v>0.48299999999999998</v>
      </c>
      <c r="E24">
        <v>2.8360160938459701E-9</v>
      </c>
      <c r="F24" t="s">
        <v>432</v>
      </c>
      <c r="G24" t="s">
        <v>433</v>
      </c>
      <c r="H24" t="s">
        <v>432</v>
      </c>
      <c r="I24" t="str">
        <f>HYPERLINK("https://zfin.org/ZDB-GENE-050522-319")</f>
        <v>https://zfin.org/ZDB-GENE-050522-319</v>
      </c>
      <c r="J24" t="s">
        <v>431</v>
      </c>
    </row>
    <row r="25" spans="1:10" x14ac:dyDescent="0.2">
      <c r="A25">
        <v>2.23692471539311E-13</v>
      </c>
      <c r="B25">
        <v>0.773892496409746</v>
      </c>
      <c r="C25">
        <v>1</v>
      </c>
      <c r="D25">
        <v>0.66700000000000004</v>
      </c>
      <c r="E25">
        <v>3.4634305368431601E-9</v>
      </c>
      <c r="F25" t="s">
        <v>504</v>
      </c>
      <c r="G25" t="s">
        <v>505</v>
      </c>
      <c r="H25" t="s">
        <v>504</v>
      </c>
      <c r="I25" t="str">
        <f>HYPERLINK("https://zfin.org/ZDB-GENE-081022-9")</f>
        <v>https://zfin.org/ZDB-GENE-081022-9</v>
      </c>
      <c r="J25" t="s">
        <v>503</v>
      </c>
    </row>
    <row r="26" spans="1:10" x14ac:dyDescent="0.2">
      <c r="A26">
        <v>2.7782961792691002E-13</v>
      </c>
      <c r="B26">
        <v>1.59518597704342</v>
      </c>
      <c r="C26">
        <v>0.60499999999999998</v>
      </c>
      <c r="D26">
        <v>1.7000000000000001E-2</v>
      </c>
      <c r="E26">
        <v>4.3016359743623401E-9</v>
      </c>
      <c r="F26" t="s">
        <v>780</v>
      </c>
      <c r="G26" t="s">
        <v>781</v>
      </c>
      <c r="H26" t="s">
        <v>780</v>
      </c>
      <c r="I26" t="str">
        <f>HYPERLINK("https://zfin.org/")</f>
        <v>https://zfin.org/</v>
      </c>
    </row>
    <row r="27" spans="1:10" x14ac:dyDescent="0.2">
      <c r="A27">
        <v>6.0601266265199099E-13</v>
      </c>
      <c r="B27">
        <v>0.68562994279253198</v>
      </c>
      <c r="C27">
        <v>0.99099999999999999</v>
      </c>
      <c r="D27">
        <v>0.85</v>
      </c>
      <c r="E27">
        <v>9.3828940558407708E-9</v>
      </c>
      <c r="F27" t="s">
        <v>778</v>
      </c>
      <c r="G27" t="s">
        <v>779</v>
      </c>
      <c r="H27" t="s">
        <v>778</v>
      </c>
      <c r="I27" t="str">
        <f>HYPERLINK("https://zfin.org/ZDB-GENE-030723-2")</f>
        <v>https://zfin.org/ZDB-GENE-030723-2</v>
      </c>
      <c r="J27" t="s">
        <v>777</v>
      </c>
    </row>
    <row r="28" spans="1:10" x14ac:dyDescent="0.2">
      <c r="A28">
        <v>7.4141963772687102E-13</v>
      </c>
      <c r="B28">
        <v>1.5692752057464401</v>
      </c>
      <c r="C28">
        <v>0.64</v>
      </c>
      <c r="D28">
        <v>6.7000000000000004E-2</v>
      </c>
      <c r="E28">
        <v>1.14794002509251E-8</v>
      </c>
      <c r="F28" t="s">
        <v>775</v>
      </c>
      <c r="G28" t="s">
        <v>776</v>
      </c>
      <c r="H28" t="s">
        <v>775</v>
      </c>
      <c r="I28" t="str">
        <f>HYPERLINK("https://zfin.org/ZDB-GENE-040426-1473")</f>
        <v>https://zfin.org/ZDB-GENE-040426-1473</v>
      </c>
      <c r="J28" t="s">
        <v>774</v>
      </c>
    </row>
    <row r="29" spans="1:10" x14ac:dyDescent="0.2">
      <c r="A29">
        <v>8.0018343490276202E-13</v>
      </c>
      <c r="B29">
        <v>0.81667242899204395</v>
      </c>
      <c r="C29">
        <v>0.99099999999999999</v>
      </c>
      <c r="D29">
        <v>0.68300000000000005</v>
      </c>
      <c r="E29">
        <v>1.2389240122599501E-8</v>
      </c>
      <c r="F29" t="s">
        <v>772</v>
      </c>
      <c r="G29" t="s">
        <v>773</v>
      </c>
      <c r="H29" t="s">
        <v>772</v>
      </c>
      <c r="I29" t="str">
        <f>HYPERLINK("https://zfin.org/ZDB-GENE-030804-2")</f>
        <v>https://zfin.org/ZDB-GENE-030804-2</v>
      </c>
      <c r="J29" t="s">
        <v>771</v>
      </c>
    </row>
    <row r="30" spans="1:10" x14ac:dyDescent="0.2">
      <c r="A30">
        <v>7.9433945509640002E-12</v>
      </c>
      <c r="B30">
        <v>0.83305260297667905</v>
      </c>
      <c r="C30">
        <v>0.95599999999999996</v>
      </c>
      <c r="D30">
        <v>0.41699999999999998</v>
      </c>
      <c r="E30">
        <v>1.2298757783257599E-7</v>
      </c>
      <c r="F30" t="s">
        <v>557</v>
      </c>
      <c r="G30" t="s">
        <v>558</v>
      </c>
      <c r="H30" t="s">
        <v>557</v>
      </c>
      <c r="I30" t="str">
        <f>HYPERLINK("https://zfin.org/ZDB-GENE-030804-7")</f>
        <v>https://zfin.org/ZDB-GENE-030804-7</v>
      </c>
      <c r="J30" t="s">
        <v>556</v>
      </c>
    </row>
    <row r="31" spans="1:10" x14ac:dyDescent="0.2">
      <c r="A31">
        <v>1.0742321931763E-11</v>
      </c>
      <c r="B31">
        <v>0.972254151630496</v>
      </c>
      <c r="C31">
        <v>0.85099999999999998</v>
      </c>
      <c r="D31">
        <v>0.28299999999999997</v>
      </c>
      <c r="E31">
        <v>1.6632337046948701E-7</v>
      </c>
      <c r="F31" t="s">
        <v>512</v>
      </c>
      <c r="G31" t="s">
        <v>511</v>
      </c>
      <c r="H31" t="s">
        <v>510</v>
      </c>
      <c r="I31" t="str">
        <f>HYPERLINK("https://zfin.org/ZDB-GENE-030131-9116")</f>
        <v>https://zfin.org/ZDB-GENE-030131-9116</v>
      </c>
      <c r="J31" t="s">
        <v>509</v>
      </c>
    </row>
    <row r="32" spans="1:10" x14ac:dyDescent="0.2">
      <c r="A32">
        <v>1.35493880470387E-11</v>
      </c>
      <c r="B32">
        <v>0.88839509012784501</v>
      </c>
      <c r="C32">
        <v>0.83299999999999996</v>
      </c>
      <c r="D32">
        <v>0.28299999999999997</v>
      </c>
      <c r="E32">
        <v>2.097851751323E-7</v>
      </c>
      <c r="F32" t="s">
        <v>471</v>
      </c>
      <c r="G32" t="s">
        <v>472</v>
      </c>
      <c r="H32" t="s">
        <v>471</v>
      </c>
      <c r="I32" t="str">
        <f>HYPERLINK("https://zfin.org/ZDB-GENE-030821-1")</f>
        <v>https://zfin.org/ZDB-GENE-030821-1</v>
      </c>
      <c r="J32" t="s">
        <v>470</v>
      </c>
    </row>
    <row r="33" spans="1:10" x14ac:dyDescent="0.2">
      <c r="A33">
        <v>1.73833292082422E-11</v>
      </c>
      <c r="B33">
        <v>0.84977865756444704</v>
      </c>
      <c r="C33">
        <v>0.90400000000000003</v>
      </c>
      <c r="D33">
        <v>0.5</v>
      </c>
      <c r="E33">
        <v>2.6914608613121503E-7</v>
      </c>
      <c r="F33" t="s">
        <v>769</v>
      </c>
      <c r="G33" t="s">
        <v>770</v>
      </c>
      <c r="H33" t="s">
        <v>769</v>
      </c>
      <c r="I33" t="str">
        <f>HYPERLINK("https://zfin.org/ZDB-GENE-040426-2151")</f>
        <v>https://zfin.org/ZDB-GENE-040426-2151</v>
      </c>
      <c r="J33" t="s">
        <v>768</v>
      </c>
    </row>
    <row r="34" spans="1:10" x14ac:dyDescent="0.2">
      <c r="A34">
        <v>3.91675410867095E-11</v>
      </c>
      <c r="B34">
        <v>1.0651665679428199</v>
      </c>
      <c r="C34">
        <v>0.63200000000000001</v>
      </c>
      <c r="D34">
        <v>0.1</v>
      </c>
      <c r="E34">
        <v>6.0643103864552303E-7</v>
      </c>
      <c r="F34" t="s">
        <v>766</v>
      </c>
      <c r="G34" t="s">
        <v>767</v>
      </c>
      <c r="H34" t="s">
        <v>766</v>
      </c>
      <c r="I34" t="str">
        <f>HYPERLINK("https://zfin.org/ZDB-GENE-121214-339")</f>
        <v>https://zfin.org/ZDB-GENE-121214-339</v>
      </c>
      <c r="J34" t="s">
        <v>765</v>
      </c>
    </row>
    <row r="35" spans="1:10" x14ac:dyDescent="0.2">
      <c r="A35">
        <v>5.0114588168902799E-11</v>
      </c>
      <c r="B35">
        <v>0.877942769646751</v>
      </c>
      <c r="C35">
        <v>0.58799999999999997</v>
      </c>
      <c r="D35">
        <v>6.7000000000000004E-2</v>
      </c>
      <c r="E35">
        <v>7.7592416861912196E-7</v>
      </c>
      <c r="F35" t="s">
        <v>763</v>
      </c>
      <c r="G35" t="s">
        <v>764</v>
      </c>
      <c r="H35" t="s">
        <v>763</v>
      </c>
      <c r="I35" t="str">
        <f>HYPERLINK("https://zfin.org/ZDB-GENE-131127-65")</f>
        <v>https://zfin.org/ZDB-GENE-131127-65</v>
      </c>
      <c r="J35" t="s">
        <v>762</v>
      </c>
    </row>
    <row r="36" spans="1:10" x14ac:dyDescent="0.2">
      <c r="A36">
        <v>5.5501780155217497E-11</v>
      </c>
      <c r="B36">
        <v>0.83539407876052896</v>
      </c>
      <c r="C36">
        <v>0.754</v>
      </c>
      <c r="D36">
        <v>0.25</v>
      </c>
      <c r="E36">
        <v>8.5933406214323197E-7</v>
      </c>
      <c r="F36" t="s">
        <v>760</v>
      </c>
      <c r="G36" t="s">
        <v>761</v>
      </c>
      <c r="H36" t="s">
        <v>760</v>
      </c>
      <c r="I36" t="str">
        <f>HYPERLINK("https://zfin.org/ZDB-GENE-121005-1")</f>
        <v>https://zfin.org/ZDB-GENE-121005-1</v>
      </c>
      <c r="J36" t="s">
        <v>759</v>
      </c>
    </row>
    <row r="37" spans="1:10" x14ac:dyDescent="0.2">
      <c r="A37">
        <v>6.8196429866010003E-11</v>
      </c>
      <c r="B37">
        <v>0.99476669197217704</v>
      </c>
      <c r="C37">
        <v>0.56100000000000005</v>
      </c>
      <c r="D37">
        <v>3.3000000000000002E-2</v>
      </c>
      <c r="E37">
        <v>1.0558853236154299E-6</v>
      </c>
      <c r="F37" t="s">
        <v>757</v>
      </c>
      <c r="G37" t="s">
        <v>758</v>
      </c>
      <c r="H37" t="s">
        <v>757</v>
      </c>
      <c r="I37" t="str">
        <f>HYPERLINK("https://zfin.org/ZDB-GENE-090313-35")</f>
        <v>https://zfin.org/ZDB-GENE-090313-35</v>
      </c>
      <c r="J37" t="s">
        <v>756</v>
      </c>
    </row>
    <row r="38" spans="1:10" x14ac:dyDescent="0.2">
      <c r="A38">
        <v>7.50833534091236E-11</v>
      </c>
      <c r="B38">
        <v>0.76124418987556897</v>
      </c>
      <c r="C38">
        <v>0.58799999999999997</v>
      </c>
      <c r="D38">
        <v>6.7000000000000004E-2</v>
      </c>
      <c r="E38">
        <v>1.1625155608334601E-6</v>
      </c>
      <c r="F38" t="s">
        <v>754</v>
      </c>
      <c r="G38" t="s">
        <v>755</v>
      </c>
      <c r="H38" t="s">
        <v>754</v>
      </c>
      <c r="I38" t="str">
        <f>HYPERLINK("https://zfin.org/ZDB-GENE-030131-7447")</f>
        <v>https://zfin.org/ZDB-GENE-030131-7447</v>
      </c>
      <c r="J38" t="s">
        <v>753</v>
      </c>
    </row>
    <row r="39" spans="1:10" x14ac:dyDescent="0.2">
      <c r="A39">
        <v>1.12359371758475E-10</v>
      </c>
      <c r="B39">
        <v>0.77545438328846505</v>
      </c>
      <c r="C39">
        <v>0.98199999999999998</v>
      </c>
      <c r="D39">
        <v>0.6</v>
      </c>
      <c r="E39">
        <v>1.7396601529364601E-6</v>
      </c>
      <c r="F39" t="s">
        <v>426</v>
      </c>
      <c r="G39" t="s">
        <v>427</v>
      </c>
      <c r="H39" t="s">
        <v>426</v>
      </c>
      <c r="I39" t="str">
        <f>HYPERLINK("https://zfin.org/ZDB-GENE-131121-321")</f>
        <v>https://zfin.org/ZDB-GENE-131121-321</v>
      </c>
      <c r="J39" t="s">
        <v>425</v>
      </c>
    </row>
    <row r="40" spans="1:10" x14ac:dyDescent="0.2">
      <c r="A40">
        <v>2.6534881169492502E-10</v>
      </c>
      <c r="B40">
        <v>1.0857759627227801</v>
      </c>
      <c r="C40">
        <v>0.67500000000000004</v>
      </c>
      <c r="D40">
        <v>0.16700000000000001</v>
      </c>
      <c r="E40">
        <v>4.10839565147253E-6</v>
      </c>
      <c r="F40" t="s">
        <v>751</v>
      </c>
      <c r="G40" t="s">
        <v>752</v>
      </c>
      <c r="H40" t="s">
        <v>751</v>
      </c>
      <c r="I40" t="str">
        <f>HYPERLINK("https://zfin.org/ZDB-GENE-980526-280")</f>
        <v>https://zfin.org/ZDB-GENE-980526-280</v>
      </c>
      <c r="J40" t="s">
        <v>750</v>
      </c>
    </row>
    <row r="41" spans="1:10" x14ac:dyDescent="0.2">
      <c r="A41">
        <v>2.9604001215187602E-10</v>
      </c>
      <c r="B41">
        <v>0.81105542649734097</v>
      </c>
      <c r="C41">
        <v>1</v>
      </c>
      <c r="D41">
        <v>0.66700000000000004</v>
      </c>
      <c r="E41">
        <v>4.5835875081475002E-6</v>
      </c>
      <c r="F41" t="s">
        <v>411</v>
      </c>
      <c r="G41" t="s">
        <v>412</v>
      </c>
      <c r="H41" t="s">
        <v>411</v>
      </c>
      <c r="I41" t="str">
        <f>HYPERLINK("https://zfin.org/")</f>
        <v>https://zfin.org/</v>
      </c>
    </row>
    <row r="42" spans="1:10" x14ac:dyDescent="0.2">
      <c r="A42">
        <v>3.6918216126609698E-10</v>
      </c>
      <c r="B42">
        <v>0.82336520741693398</v>
      </c>
      <c r="C42">
        <v>0.51800000000000002</v>
      </c>
      <c r="D42">
        <v>3.3000000000000002E-2</v>
      </c>
      <c r="E42">
        <v>5.71604740288298E-6</v>
      </c>
      <c r="F42" t="s">
        <v>748</v>
      </c>
      <c r="G42" t="s">
        <v>749</v>
      </c>
      <c r="H42" t="s">
        <v>748</v>
      </c>
      <c r="I42" t="str">
        <f>HYPERLINK("https://zfin.org/ZDB-GENE-110411-215")</f>
        <v>https://zfin.org/ZDB-GENE-110411-215</v>
      </c>
      <c r="J42" t="s">
        <v>747</v>
      </c>
    </row>
    <row r="43" spans="1:10" x14ac:dyDescent="0.2">
      <c r="A43">
        <v>5.1229050441836803E-10</v>
      </c>
      <c r="B43">
        <v>0.69758542120171596</v>
      </c>
      <c r="C43">
        <v>0.53500000000000003</v>
      </c>
      <c r="D43">
        <v>0.05</v>
      </c>
      <c r="E43">
        <v>7.9317938799095994E-6</v>
      </c>
      <c r="F43" t="s">
        <v>745</v>
      </c>
      <c r="G43" t="s">
        <v>746</v>
      </c>
      <c r="H43" t="s">
        <v>745</v>
      </c>
      <c r="I43" t="str">
        <f>HYPERLINK("https://zfin.org/ZDB-GENE-040426-2542")</f>
        <v>https://zfin.org/ZDB-GENE-040426-2542</v>
      </c>
      <c r="J43" t="s">
        <v>744</v>
      </c>
    </row>
    <row r="44" spans="1:10" x14ac:dyDescent="0.2">
      <c r="A44">
        <v>6.5937411235879204E-10</v>
      </c>
      <c r="B44">
        <v>0.73659012491305598</v>
      </c>
      <c r="C44">
        <v>0.89500000000000002</v>
      </c>
      <c r="D44">
        <v>0.45</v>
      </c>
      <c r="E44">
        <v>1.0209089381651199E-5</v>
      </c>
      <c r="F44" t="s">
        <v>742</v>
      </c>
      <c r="G44" t="s">
        <v>743</v>
      </c>
      <c r="H44" t="s">
        <v>742</v>
      </c>
      <c r="I44" t="str">
        <f>HYPERLINK("https://zfin.org/ZDB-GENE-040718-336")</f>
        <v>https://zfin.org/ZDB-GENE-040718-336</v>
      </c>
      <c r="J44" t="s">
        <v>741</v>
      </c>
    </row>
    <row r="45" spans="1:10" x14ac:dyDescent="0.2">
      <c r="A45">
        <v>7.3203164046779097E-10</v>
      </c>
      <c r="B45">
        <v>0.98216420587186004</v>
      </c>
      <c r="C45">
        <v>0.70199999999999996</v>
      </c>
      <c r="D45">
        <v>0.217</v>
      </c>
      <c r="E45">
        <v>1.13340458893628E-5</v>
      </c>
      <c r="F45" t="s">
        <v>739</v>
      </c>
      <c r="G45" t="s">
        <v>740</v>
      </c>
      <c r="H45" t="s">
        <v>739</v>
      </c>
      <c r="I45" t="str">
        <f>HYPERLINK("https://zfin.org/ZDB-GENE-160113-73")</f>
        <v>https://zfin.org/ZDB-GENE-160113-73</v>
      </c>
      <c r="J45" t="s">
        <v>738</v>
      </c>
    </row>
    <row r="46" spans="1:10" x14ac:dyDescent="0.2">
      <c r="A46">
        <v>1.1538456689792E-9</v>
      </c>
      <c r="B46">
        <v>0.73171114824477201</v>
      </c>
      <c r="C46">
        <v>0.73699999999999999</v>
      </c>
      <c r="D46">
        <v>0.23300000000000001</v>
      </c>
      <c r="E46">
        <v>1.7864992492804999E-5</v>
      </c>
      <c r="F46" t="s">
        <v>736</v>
      </c>
      <c r="G46" t="s">
        <v>737</v>
      </c>
      <c r="H46" t="s">
        <v>736</v>
      </c>
      <c r="I46" t="str">
        <f>HYPERLINK("https://zfin.org/ZDB-GENE-040426-2936")</f>
        <v>https://zfin.org/ZDB-GENE-040426-2936</v>
      </c>
      <c r="J46" t="s">
        <v>735</v>
      </c>
    </row>
    <row r="47" spans="1:10" x14ac:dyDescent="0.2">
      <c r="A47">
        <v>1.8651118340402902E-9</v>
      </c>
      <c r="B47">
        <v>0.83379032772131001</v>
      </c>
      <c r="C47">
        <v>0.54400000000000004</v>
      </c>
      <c r="D47">
        <v>6.7000000000000004E-2</v>
      </c>
      <c r="E47">
        <v>2.88775265264458E-5</v>
      </c>
      <c r="F47" t="s">
        <v>733</v>
      </c>
      <c r="G47" t="s">
        <v>734</v>
      </c>
      <c r="H47" t="s">
        <v>733</v>
      </c>
      <c r="I47" t="str">
        <f>HYPERLINK("https://zfin.org/ZDB-GENE-080723-23")</f>
        <v>https://zfin.org/ZDB-GENE-080723-23</v>
      </c>
      <c r="J47" t="s">
        <v>732</v>
      </c>
    </row>
    <row r="48" spans="1:10" x14ac:dyDescent="0.2">
      <c r="A48">
        <v>1.9160303271806501E-9</v>
      </c>
      <c r="B48">
        <v>0.54615958911371099</v>
      </c>
      <c r="C48">
        <v>1</v>
      </c>
      <c r="D48">
        <v>1</v>
      </c>
      <c r="E48">
        <v>2.9665897555738E-5</v>
      </c>
      <c r="F48" t="s">
        <v>730</v>
      </c>
      <c r="G48" t="s">
        <v>731</v>
      </c>
      <c r="H48" t="s">
        <v>730</v>
      </c>
      <c r="I48" t="str">
        <f>HYPERLINK("https://zfin.org/ZDB-GENE-040718-72")</f>
        <v>https://zfin.org/ZDB-GENE-040718-72</v>
      </c>
      <c r="J48" t="s">
        <v>729</v>
      </c>
    </row>
    <row r="49" spans="1:10" x14ac:dyDescent="0.2">
      <c r="A49">
        <v>2.9989658314327499E-9</v>
      </c>
      <c r="B49">
        <v>0.75615959426926604</v>
      </c>
      <c r="C49">
        <v>0.93899999999999995</v>
      </c>
      <c r="D49">
        <v>0.45</v>
      </c>
      <c r="E49">
        <v>4.6432987968073297E-5</v>
      </c>
      <c r="F49" t="s">
        <v>727</v>
      </c>
      <c r="G49" t="s">
        <v>728</v>
      </c>
      <c r="H49" t="s">
        <v>727</v>
      </c>
      <c r="I49" t="str">
        <f>HYPERLINK("https://zfin.org/ZDB-GENE-030131-8541")</f>
        <v>https://zfin.org/ZDB-GENE-030131-8541</v>
      </c>
      <c r="J49" t="s">
        <v>726</v>
      </c>
    </row>
    <row r="50" spans="1:10" x14ac:dyDescent="0.2">
      <c r="A50">
        <v>3.2718522607437501E-9</v>
      </c>
      <c r="B50">
        <v>0.76722445721294197</v>
      </c>
      <c r="C50">
        <v>0.97399999999999998</v>
      </c>
      <c r="D50">
        <v>0.83299999999999996</v>
      </c>
      <c r="E50">
        <v>5.0658088553095502E-5</v>
      </c>
      <c r="F50" t="s">
        <v>724</v>
      </c>
      <c r="G50" t="s">
        <v>725</v>
      </c>
      <c r="H50" t="s">
        <v>724</v>
      </c>
      <c r="I50" t="str">
        <f>HYPERLINK("https://zfin.org/ZDB-GENE-071004-57")</f>
        <v>https://zfin.org/ZDB-GENE-071004-57</v>
      </c>
      <c r="J50" t="s">
        <v>723</v>
      </c>
    </row>
    <row r="51" spans="1:10" x14ac:dyDescent="0.2">
      <c r="A51">
        <v>4.1970794939176797E-9</v>
      </c>
      <c r="B51">
        <v>0.67384989586836397</v>
      </c>
      <c r="C51">
        <v>0.84199999999999997</v>
      </c>
      <c r="D51">
        <v>0.41699999999999998</v>
      </c>
      <c r="E51">
        <v>6.4983381804327396E-5</v>
      </c>
      <c r="F51" t="s">
        <v>474</v>
      </c>
      <c r="G51" t="s">
        <v>475</v>
      </c>
      <c r="H51" t="s">
        <v>474</v>
      </c>
      <c r="I51" t="str">
        <f>HYPERLINK("https://zfin.org/ZDB-GENE-040426-1903")</f>
        <v>https://zfin.org/ZDB-GENE-040426-1903</v>
      </c>
      <c r="J51" t="s">
        <v>473</v>
      </c>
    </row>
    <row r="52" spans="1:10" x14ac:dyDescent="0.2">
      <c r="A52">
        <v>5.0967247767061597E-9</v>
      </c>
      <c r="B52">
        <v>0.65618005626882203</v>
      </c>
      <c r="C52">
        <v>0.53500000000000003</v>
      </c>
      <c r="D52">
        <v>8.3000000000000004E-2</v>
      </c>
      <c r="E52">
        <v>7.8912589717741402E-5</v>
      </c>
      <c r="F52" t="s">
        <v>721</v>
      </c>
      <c r="G52" t="s">
        <v>722</v>
      </c>
      <c r="H52" t="s">
        <v>721</v>
      </c>
      <c r="I52" t="str">
        <f>HYPERLINK("https://zfin.org/ZDB-GENE-040317-1")</f>
        <v>https://zfin.org/ZDB-GENE-040317-1</v>
      </c>
      <c r="J52" t="s">
        <v>720</v>
      </c>
    </row>
    <row r="53" spans="1:10" x14ac:dyDescent="0.2">
      <c r="A53">
        <v>6.34057914090137E-9</v>
      </c>
      <c r="B53">
        <v>0.51398524164227699</v>
      </c>
      <c r="C53">
        <v>0.96499999999999997</v>
      </c>
      <c r="D53">
        <v>0.56699999999999995</v>
      </c>
      <c r="E53">
        <v>9.8171186838575894E-5</v>
      </c>
      <c r="F53" t="s">
        <v>593</v>
      </c>
      <c r="G53" t="s">
        <v>594</v>
      </c>
      <c r="H53" t="s">
        <v>593</v>
      </c>
      <c r="I53" t="str">
        <f>HYPERLINK("https://zfin.org/ZDB-GENE-050413-1")</f>
        <v>https://zfin.org/ZDB-GENE-050413-1</v>
      </c>
      <c r="J53" t="s">
        <v>592</v>
      </c>
    </row>
    <row r="54" spans="1:10" x14ac:dyDescent="0.2">
      <c r="A54">
        <v>6.57979691646053E-9</v>
      </c>
      <c r="B54">
        <v>0.49997055031374599</v>
      </c>
      <c r="C54">
        <v>0.85099999999999998</v>
      </c>
      <c r="D54">
        <v>0.317</v>
      </c>
      <c r="E54">
        <v>1.01874995657558E-4</v>
      </c>
      <c r="F54" t="s">
        <v>718</v>
      </c>
      <c r="G54" t="s">
        <v>719</v>
      </c>
      <c r="H54" t="s">
        <v>718</v>
      </c>
      <c r="I54" t="str">
        <f>HYPERLINK("https://zfin.org/ZDB-GENE-060929-998")</f>
        <v>https://zfin.org/ZDB-GENE-060929-998</v>
      </c>
      <c r="J54" t="s">
        <v>717</v>
      </c>
    </row>
    <row r="55" spans="1:10" x14ac:dyDescent="0.2">
      <c r="A55">
        <v>7.4272430209067797E-9</v>
      </c>
      <c r="B55">
        <v>0.58676067390225595</v>
      </c>
      <c r="C55">
        <v>0.86799999999999999</v>
      </c>
      <c r="D55">
        <v>0.51700000000000002</v>
      </c>
      <c r="E55">
        <v>1.149960036927E-4</v>
      </c>
      <c r="F55" t="s">
        <v>715</v>
      </c>
      <c r="G55" t="s">
        <v>716</v>
      </c>
      <c r="H55" t="s">
        <v>715</v>
      </c>
      <c r="I55" t="str">
        <f>HYPERLINK("https://zfin.org/ZDB-GENE-070912-397")</f>
        <v>https://zfin.org/ZDB-GENE-070912-397</v>
      </c>
      <c r="J55" t="s">
        <v>714</v>
      </c>
    </row>
    <row r="56" spans="1:10" x14ac:dyDescent="0.2">
      <c r="A56">
        <v>8.9506992680722299E-9</v>
      </c>
      <c r="B56">
        <v>0.729781765033652</v>
      </c>
      <c r="C56">
        <v>0.49099999999999999</v>
      </c>
      <c r="D56">
        <v>0.05</v>
      </c>
      <c r="E56">
        <v>1.3858367676756201E-4</v>
      </c>
      <c r="F56" t="s">
        <v>712</v>
      </c>
      <c r="G56" t="s">
        <v>713</v>
      </c>
      <c r="H56" t="s">
        <v>712</v>
      </c>
      <c r="I56" t="str">
        <f>HYPERLINK("https://zfin.org/ZDB-GENE-070410-90")</f>
        <v>https://zfin.org/ZDB-GENE-070410-90</v>
      </c>
      <c r="J56" t="s">
        <v>711</v>
      </c>
    </row>
    <row r="57" spans="1:10" x14ac:dyDescent="0.2">
      <c r="A57">
        <v>9.0650193270836502E-9</v>
      </c>
      <c r="B57">
        <v>0.55825926582358998</v>
      </c>
      <c r="C57">
        <v>0.61399999999999999</v>
      </c>
      <c r="D57">
        <v>0.11700000000000001</v>
      </c>
      <c r="E57">
        <v>1.4035369424123599E-4</v>
      </c>
      <c r="F57" t="s">
        <v>709</v>
      </c>
      <c r="G57" t="s">
        <v>710</v>
      </c>
      <c r="H57" t="s">
        <v>709</v>
      </c>
      <c r="I57" t="str">
        <f>HYPERLINK("https://zfin.org/ZDB-GENE-091204-322")</f>
        <v>https://zfin.org/ZDB-GENE-091204-322</v>
      </c>
      <c r="J57" t="s">
        <v>708</v>
      </c>
    </row>
    <row r="58" spans="1:10" x14ac:dyDescent="0.2">
      <c r="A58">
        <v>1.0740867587230101E-8</v>
      </c>
      <c r="B58">
        <v>0.70244335889036802</v>
      </c>
      <c r="C58">
        <v>0.52600000000000002</v>
      </c>
      <c r="D58">
        <v>8.3000000000000004E-2</v>
      </c>
      <c r="E58">
        <v>1.66300852853083E-4</v>
      </c>
      <c r="F58" t="s">
        <v>706</v>
      </c>
      <c r="G58" t="s">
        <v>707</v>
      </c>
      <c r="H58" t="s">
        <v>706</v>
      </c>
      <c r="I58" t="str">
        <f>HYPERLINK("https://zfin.org/ZDB-GENE-070112-972")</f>
        <v>https://zfin.org/ZDB-GENE-070112-972</v>
      </c>
      <c r="J58" t="s">
        <v>705</v>
      </c>
    </row>
    <row r="59" spans="1:10" x14ac:dyDescent="0.2">
      <c r="A59">
        <v>1.09523529797082E-8</v>
      </c>
      <c r="B59">
        <v>0.66022796168197795</v>
      </c>
      <c r="C59">
        <v>0.65800000000000003</v>
      </c>
      <c r="D59">
        <v>0.2</v>
      </c>
      <c r="E59">
        <v>1.69575281184822E-4</v>
      </c>
      <c r="F59" t="s">
        <v>703</v>
      </c>
      <c r="G59" t="s">
        <v>704</v>
      </c>
      <c r="H59" t="s">
        <v>703</v>
      </c>
      <c r="I59" t="str">
        <f>HYPERLINK("https://zfin.org/ZDB-GENE-030131-8542")</f>
        <v>https://zfin.org/ZDB-GENE-030131-8542</v>
      </c>
      <c r="J59" t="s">
        <v>702</v>
      </c>
    </row>
    <row r="60" spans="1:10" x14ac:dyDescent="0.2">
      <c r="A60">
        <v>1.4734504295643E-8</v>
      </c>
      <c r="B60">
        <v>0.51315989364486703</v>
      </c>
      <c r="C60">
        <v>0.98199999999999998</v>
      </c>
      <c r="D60">
        <v>0.78300000000000003</v>
      </c>
      <c r="E60">
        <v>2.2813433000944101E-4</v>
      </c>
      <c r="F60" t="s">
        <v>700</v>
      </c>
      <c r="G60" t="s">
        <v>701</v>
      </c>
      <c r="H60" t="s">
        <v>700</v>
      </c>
      <c r="I60" t="str">
        <f>HYPERLINK("https://zfin.org/ZDB-GENE-030131-7859")</f>
        <v>https://zfin.org/ZDB-GENE-030131-7859</v>
      </c>
      <c r="J60" t="s">
        <v>699</v>
      </c>
    </row>
    <row r="61" spans="1:10" x14ac:dyDescent="0.2">
      <c r="A61">
        <v>1.9242782012502301E-8</v>
      </c>
      <c r="B61">
        <v>0.76382084078349399</v>
      </c>
      <c r="C61">
        <v>0.68400000000000005</v>
      </c>
      <c r="D61">
        <v>0.217</v>
      </c>
      <c r="E61">
        <v>2.9793599389957298E-4</v>
      </c>
      <c r="F61" t="s">
        <v>697</v>
      </c>
      <c r="G61" t="s">
        <v>698</v>
      </c>
      <c r="H61" t="s">
        <v>697</v>
      </c>
      <c r="I61" t="str">
        <f>HYPERLINK("https://zfin.org/ZDB-GENE-131127-474")</f>
        <v>https://zfin.org/ZDB-GENE-131127-474</v>
      </c>
      <c r="J61" t="s">
        <v>696</v>
      </c>
    </row>
    <row r="62" spans="1:10" x14ac:dyDescent="0.2">
      <c r="A62">
        <v>2.0096662409215E-8</v>
      </c>
      <c r="B62">
        <v>0.52678389913490697</v>
      </c>
      <c r="C62">
        <v>0.98199999999999998</v>
      </c>
      <c r="D62">
        <v>0.76700000000000002</v>
      </c>
      <c r="E62">
        <v>3.1115662408187601E-4</v>
      </c>
      <c r="F62" t="s">
        <v>694</v>
      </c>
      <c r="G62" t="s">
        <v>695</v>
      </c>
      <c r="H62" t="s">
        <v>694</v>
      </c>
      <c r="I62" t="str">
        <f>HYPERLINK("https://zfin.org/ZDB-GENE-030410-5")</f>
        <v>https://zfin.org/ZDB-GENE-030410-5</v>
      </c>
      <c r="J62" t="s">
        <v>693</v>
      </c>
    </row>
    <row r="63" spans="1:10" x14ac:dyDescent="0.2">
      <c r="A63">
        <v>2.0645401324608399E-8</v>
      </c>
      <c r="B63">
        <v>0.66397600003809398</v>
      </c>
      <c r="C63">
        <v>0.91200000000000003</v>
      </c>
      <c r="D63">
        <v>0.58299999999999996</v>
      </c>
      <c r="E63">
        <v>3.1965274870891103E-4</v>
      </c>
      <c r="F63" t="s">
        <v>691</v>
      </c>
      <c r="G63" t="s">
        <v>692</v>
      </c>
      <c r="H63" t="s">
        <v>691</v>
      </c>
      <c r="I63" t="str">
        <f>HYPERLINK("https://zfin.org/ZDB-GENE-041210-60")</f>
        <v>https://zfin.org/ZDB-GENE-041210-60</v>
      </c>
      <c r="J63" t="s">
        <v>690</v>
      </c>
    </row>
    <row r="64" spans="1:10" x14ac:dyDescent="0.2">
      <c r="A64">
        <v>2.2213733064958501E-8</v>
      </c>
      <c r="B64">
        <v>0.65842931288264595</v>
      </c>
      <c r="C64">
        <v>0.71899999999999997</v>
      </c>
      <c r="D64">
        <v>0.28299999999999997</v>
      </c>
      <c r="E64">
        <v>3.4393522904475199E-4</v>
      </c>
      <c r="F64" t="s">
        <v>688</v>
      </c>
      <c r="G64" t="s">
        <v>689</v>
      </c>
      <c r="H64" t="s">
        <v>688</v>
      </c>
      <c r="I64" t="str">
        <f>HYPERLINK("https://zfin.org/ZDB-GENE-040426-687")</f>
        <v>https://zfin.org/ZDB-GENE-040426-687</v>
      </c>
      <c r="J64" t="s">
        <v>687</v>
      </c>
    </row>
    <row r="65" spans="1:10" x14ac:dyDescent="0.2">
      <c r="A65">
        <v>2.8452837807955599E-8</v>
      </c>
      <c r="B65">
        <v>0.66426156372555101</v>
      </c>
      <c r="C65">
        <v>0.746</v>
      </c>
      <c r="D65">
        <v>0.3</v>
      </c>
      <c r="E65">
        <v>4.4053528778057599E-4</v>
      </c>
      <c r="F65" t="s">
        <v>441</v>
      </c>
      <c r="G65" t="s">
        <v>442</v>
      </c>
      <c r="H65" t="s">
        <v>441</v>
      </c>
      <c r="I65" t="str">
        <f>HYPERLINK("https://zfin.org/ZDB-GENE-050208-657")</f>
        <v>https://zfin.org/ZDB-GENE-050208-657</v>
      </c>
      <c r="J65" t="s">
        <v>440</v>
      </c>
    </row>
    <row r="66" spans="1:10" x14ac:dyDescent="0.2">
      <c r="A66">
        <v>2.8475799196256599E-8</v>
      </c>
      <c r="B66">
        <v>0.57696241112532898</v>
      </c>
      <c r="C66">
        <v>0.84199999999999997</v>
      </c>
      <c r="D66">
        <v>0.433</v>
      </c>
      <c r="E66">
        <v>4.4089079895564198E-4</v>
      </c>
      <c r="F66" t="s">
        <v>468</v>
      </c>
      <c r="G66" t="s">
        <v>469</v>
      </c>
      <c r="H66" t="s">
        <v>468</v>
      </c>
      <c r="I66" t="str">
        <f>HYPERLINK("https://zfin.org/")</f>
        <v>https://zfin.org/</v>
      </c>
      <c r="J66" t="s">
        <v>467</v>
      </c>
    </row>
    <row r="67" spans="1:10" x14ac:dyDescent="0.2">
      <c r="A67">
        <v>3.2910479488735303E-8</v>
      </c>
      <c r="B67">
        <v>0.65818984382731405</v>
      </c>
      <c r="C67">
        <v>0.59599999999999997</v>
      </c>
      <c r="D67">
        <v>0.13300000000000001</v>
      </c>
      <c r="E67">
        <v>5.0955295392408797E-4</v>
      </c>
      <c r="F67" t="s">
        <v>685</v>
      </c>
      <c r="G67" t="s">
        <v>686</v>
      </c>
      <c r="H67" t="s">
        <v>685</v>
      </c>
      <c r="I67" t="str">
        <f>HYPERLINK("https://zfin.org/ZDB-GENE-131121-219")</f>
        <v>https://zfin.org/ZDB-GENE-131121-219</v>
      </c>
      <c r="J67" t="s">
        <v>684</v>
      </c>
    </row>
    <row r="68" spans="1:10" x14ac:dyDescent="0.2">
      <c r="A68">
        <v>3.3012534879965598E-8</v>
      </c>
      <c r="B68">
        <v>0.76221814910473995</v>
      </c>
      <c r="C68">
        <v>0.439</v>
      </c>
      <c r="D68">
        <v>3.3000000000000002E-2</v>
      </c>
      <c r="E68">
        <v>5.1113307754650805E-4</v>
      </c>
      <c r="F68" t="s">
        <v>682</v>
      </c>
      <c r="G68" t="s">
        <v>683</v>
      </c>
      <c r="H68" t="s">
        <v>682</v>
      </c>
      <c r="I68" t="str">
        <f>HYPERLINK("https://zfin.org/ZDB-GENE-081104-178")</f>
        <v>https://zfin.org/ZDB-GENE-081104-178</v>
      </c>
      <c r="J68" t="s">
        <v>681</v>
      </c>
    </row>
    <row r="69" spans="1:10" x14ac:dyDescent="0.2">
      <c r="A69">
        <v>3.6956387464174298E-8</v>
      </c>
      <c r="B69">
        <v>0.52498708959715801</v>
      </c>
      <c r="C69">
        <v>0.5</v>
      </c>
      <c r="D69">
        <v>6.7000000000000004E-2</v>
      </c>
      <c r="E69">
        <v>5.7219574710781003E-4</v>
      </c>
      <c r="F69" t="s">
        <v>679</v>
      </c>
      <c r="G69" t="s">
        <v>680</v>
      </c>
      <c r="H69" t="s">
        <v>679</v>
      </c>
      <c r="I69" t="str">
        <f>HYPERLINK("https://zfin.org/ZDB-GENE-030131-3065")</f>
        <v>https://zfin.org/ZDB-GENE-030131-3065</v>
      </c>
      <c r="J69" t="s">
        <v>678</v>
      </c>
    </row>
    <row r="70" spans="1:10" x14ac:dyDescent="0.2">
      <c r="A70">
        <v>4.7956436529291403E-8</v>
      </c>
      <c r="B70">
        <v>0.56416151069602005</v>
      </c>
      <c r="C70">
        <v>0.81599999999999995</v>
      </c>
      <c r="D70">
        <v>0.33300000000000002</v>
      </c>
      <c r="E70">
        <v>7.4250950678301803E-4</v>
      </c>
      <c r="F70" t="s">
        <v>340</v>
      </c>
      <c r="G70" t="s">
        <v>341</v>
      </c>
      <c r="H70" t="s">
        <v>340</v>
      </c>
      <c r="I70" t="str">
        <f>HYPERLINK("https://zfin.org/ZDB-GENE-030131-7806")</f>
        <v>https://zfin.org/ZDB-GENE-030131-7806</v>
      </c>
      <c r="J70" t="s">
        <v>339</v>
      </c>
    </row>
    <row r="71" spans="1:10" x14ac:dyDescent="0.2">
      <c r="A71">
        <v>4.9886117772094998E-8</v>
      </c>
      <c r="B71">
        <v>0.64288091869075403</v>
      </c>
      <c r="C71">
        <v>0.86</v>
      </c>
      <c r="D71">
        <v>0.45</v>
      </c>
      <c r="E71">
        <v>7.7238676146534695E-4</v>
      </c>
      <c r="F71" t="s">
        <v>355</v>
      </c>
      <c r="G71" t="s">
        <v>356</v>
      </c>
      <c r="H71" t="s">
        <v>355</v>
      </c>
      <c r="I71" t="str">
        <f>HYPERLINK("https://zfin.org/ZDB-GENE-000412-1")</f>
        <v>https://zfin.org/ZDB-GENE-000412-1</v>
      </c>
      <c r="J71" t="s">
        <v>354</v>
      </c>
    </row>
    <row r="72" spans="1:10" x14ac:dyDescent="0.2">
      <c r="A72">
        <v>4.9891830526819599E-8</v>
      </c>
      <c r="B72">
        <v>0.63966943560898804</v>
      </c>
      <c r="C72">
        <v>0.60499999999999998</v>
      </c>
      <c r="D72">
        <v>0.16700000000000001</v>
      </c>
      <c r="E72">
        <v>7.7247521204674801E-4</v>
      </c>
      <c r="F72" t="s">
        <v>676</v>
      </c>
      <c r="G72" t="s">
        <v>677</v>
      </c>
      <c r="H72" t="s">
        <v>676</v>
      </c>
      <c r="I72" t="str">
        <f>HYPERLINK("https://zfin.org/ZDB-GENE-030131-6136")</f>
        <v>https://zfin.org/ZDB-GENE-030131-6136</v>
      </c>
      <c r="J72" t="s">
        <v>675</v>
      </c>
    </row>
    <row r="73" spans="1:10" x14ac:dyDescent="0.2">
      <c r="A73">
        <v>5.5818015468283699E-8</v>
      </c>
      <c r="B73">
        <v>0.60650229613996298</v>
      </c>
      <c r="C73">
        <v>0.71099999999999997</v>
      </c>
      <c r="D73">
        <v>0.26700000000000002</v>
      </c>
      <c r="E73">
        <v>8.6423033349543603E-4</v>
      </c>
      <c r="F73" t="s">
        <v>402</v>
      </c>
      <c r="G73" t="s">
        <v>403</v>
      </c>
      <c r="H73" t="s">
        <v>402</v>
      </c>
      <c r="I73" t="str">
        <f>HYPERLINK("https://zfin.org/ZDB-GENE-060825-242")</f>
        <v>https://zfin.org/ZDB-GENE-060825-242</v>
      </c>
      <c r="J73" t="s">
        <v>401</v>
      </c>
    </row>
    <row r="74" spans="1:10" x14ac:dyDescent="0.2">
      <c r="A74">
        <v>6.6380767044250701E-8</v>
      </c>
      <c r="B74">
        <v>0.56509554974185106</v>
      </c>
      <c r="C74">
        <v>0.69299999999999995</v>
      </c>
      <c r="D74">
        <v>0.2</v>
      </c>
      <c r="E74">
        <v>1.02777341614613E-3</v>
      </c>
      <c r="F74" t="s">
        <v>673</v>
      </c>
      <c r="G74" t="s">
        <v>674</v>
      </c>
      <c r="H74" t="s">
        <v>673</v>
      </c>
      <c r="I74" t="str">
        <f>HYPERLINK("https://zfin.org/ZDB-GENE-091118-113")</f>
        <v>https://zfin.org/ZDB-GENE-091118-113</v>
      </c>
      <c r="J74" t="s">
        <v>672</v>
      </c>
    </row>
    <row r="75" spans="1:10" x14ac:dyDescent="0.2">
      <c r="A75">
        <v>7.4141658524056604E-8</v>
      </c>
      <c r="B75">
        <v>0.55767694312509997</v>
      </c>
      <c r="C75">
        <v>0.71899999999999997</v>
      </c>
      <c r="D75">
        <v>0.317</v>
      </c>
      <c r="E75">
        <v>1.1479352989279699E-3</v>
      </c>
      <c r="F75" t="s">
        <v>414</v>
      </c>
      <c r="G75" t="s">
        <v>415</v>
      </c>
      <c r="H75" t="s">
        <v>414</v>
      </c>
      <c r="I75" t="str">
        <f>HYPERLINK("https://zfin.org/ZDB-GENE-070424-269")</f>
        <v>https://zfin.org/ZDB-GENE-070424-269</v>
      </c>
      <c r="J75" t="s">
        <v>413</v>
      </c>
    </row>
    <row r="76" spans="1:10" x14ac:dyDescent="0.2">
      <c r="A76">
        <v>9.6760651996685703E-8</v>
      </c>
      <c r="B76">
        <v>0.62756119780872999</v>
      </c>
      <c r="C76">
        <v>0.70199999999999996</v>
      </c>
      <c r="D76">
        <v>0.25</v>
      </c>
      <c r="E76">
        <v>1.49814517486469E-3</v>
      </c>
      <c r="F76" t="s">
        <v>396</v>
      </c>
      <c r="G76" t="s">
        <v>397</v>
      </c>
      <c r="H76" t="s">
        <v>396</v>
      </c>
      <c r="I76" t="str">
        <f>HYPERLINK("https://zfin.org/ZDB-GENE-081028-50")</f>
        <v>https://zfin.org/ZDB-GENE-081028-50</v>
      </c>
      <c r="J76" t="s">
        <v>395</v>
      </c>
    </row>
    <row r="77" spans="1:10" x14ac:dyDescent="0.2">
      <c r="A77">
        <v>1.0258980731737699E-7</v>
      </c>
      <c r="B77">
        <v>0.64898974996222403</v>
      </c>
      <c r="C77">
        <v>0.68400000000000005</v>
      </c>
      <c r="D77">
        <v>0.23300000000000001</v>
      </c>
      <c r="E77">
        <v>1.58839798669494E-3</v>
      </c>
      <c r="F77" t="s">
        <v>670</v>
      </c>
      <c r="G77" t="s">
        <v>671</v>
      </c>
      <c r="H77" t="s">
        <v>670</v>
      </c>
      <c r="I77" t="str">
        <f>HYPERLINK("https://zfin.org/ZDB-GENE-040319-2")</f>
        <v>https://zfin.org/ZDB-GENE-040319-2</v>
      </c>
      <c r="J77" t="s">
        <v>669</v>
      </c>
    </row>
    <row r="78" spans="1:10" x14ac:dyDescent="0.2">
      <c r="A78">
        <v>1.0434614505688001E-7</v>
      </c>
      <c r="B78">
        <v>0.59181249924855495</v>
      </c>
      <c r="C78">
        <v>0.64900000000000002</v>
      </c>
      <c r="D78">
        <v>0.2</v>
      </c>
      <c r="E78">
        <v>1.6155913639156699E-3</v>
      </c>
      <c r="F78" t="s">
        <v>334</v>
      </c>
      <c r="G78" t="s">
        <v>335</v>
      </c>
      <c r="H78" t="s">
        <v>334</v>
      </c>
      <c r="I78" t="str">
        <f>HYPERLINK("https://zfin.org/ZDB-GENE-070705-179")</f>
        <v>https://zfin.org/ZDB-GENE-070705-179</v>
      </c>
      <c r="J78" t="s">
        <v>333</v>
      </c>
    </row>
    <row r="79" spans="1:10" x14ac:dyDescent="0.2">
      <c r="A79">
        <v>1.07939146517732E-7</v>
      </c>
      <c r="B79">
        <v>0.76204453726648402</v>
      </c>
      <c r="C79">
        <v>0.36799999999999999</v>
      </c>
      <c r="D79">
        <v>0</v>
      </c>
      <c r="E79">
        <v>1.6712218055340499E-3</v>
      </c>
      <c r="F79" t="s">
        <v>667</v>
      </c>
      <c r="G79" t="s">
        <v>668</v>
      </c>
      <c r="H79" t="s">
        <v>667</v>
      </c>
      <c r="I79" t="str">
        <f>HYPERLINK("https://zfin.org/ZDB-GENE-050220-7")</f>
        <v>https://zfin.org/ZDB-GENE-050220-7</v>
      </c>
      <c r="J79" t="s">
        <v>666</v>
      </c>
    </row>
    <row r="80" spans="1:10" x14ac:dyDescent="0.2">
      <c r="A80">
        <v>1.3090611139028401E-7</v>
      </c>
      <c r="B80">
        <v>0.56899710649896995</v>
      </c>
      <c r="C80">
        <v>0.43</v>
      </c>
      <c r="D80">
        <v>3.3000000000000002E-2</v>
      </c>
      <c r="E80">
        <v>2.0268193226557702E-3</v>
      </c>
      <c r="F80" t="s">
        <v>664</v>
      </c>
      <c r="G80" t="s">
        <v>665</v>
      </c>
      <c r="H80" t="s">
        <v>664</v>
      </c>
      <c r="I80" t="str">
        <f>HYPERLINK("https://zfin.org/ZDB-GENE-050320-11")</f>
        <v>https://zfin.org/ZDB-GENE-050320-11</v>
      </c>
      <c r="J80" t="s">
        <v>663</v>
      </c>
    </row>
    <row r="81" spans="1:10" x14ac:dyDescent="0.2">
      <c r="A81">
        <v>1.5538212604665001E-7</v>
      </c>
      <c r="B81">
        <v>0.69856285427583897</v>
      </c>
      <c r="C81">
        <v>0.81599999999999995</v>
      </c>
      <c r="D81">
        <v>0.4</v>
      </c>
      <c r="E81">
        <v>2.4057814575802802E-3</v>
      </c>
      <c r="F81" t="s">
        <v>661</v>
      </c>
      <c r="G81" t="s">
        <v>662</v>
      </c>
      <c r="H81" t="s">
        <v>661</v>
      </c>
      <c r="I81" t="str">
        <f>HYPERLINK("https://zfin.org/ZDB-GENE-050309-14")</f>
        <v>https://zfin.org/ZDB-GENE-050309-14</v>
      </c>
      <c r="J81" t="s">
        <v>660</v>
      </c>
    </row>
    <row r="82" spans="1:10" x14ac:dyDescent="0.2">
      <c r="A82">
        <v>1.7410420441421201E-7</v>
      </c>
      <c r="B82">
        <v>0.692330153048483</v>
      </c>
      <c r="C82">
        <v>0.54400000000000004</v>
      </c>
      <c r="D82">
        <v>0.13300000000000001</v>
      </c>
      <c r="E82">
        <v>2.6956553969452401E-3</v>
      </c>
      <c r="F82" t="s">
        <v>658</v>
      </c>
      <c r="G82" t="s">
        <v>659</v>
      </c>
      <c r="H82" t="s">
        <v>658</v>
      </c>
      <c r="I82" t="str">
        <f>HYPERLINK("https://zfin.org/ZDB-GENE-090313-53")</f>
        <v>https://zfin.org/ZDB-GENE-090313-53</v>
      </c>
      <c r="J82" t="s">
        <v>657</v>
      </c>
    </row>
    <row r="83" spans="1:10" x14ac:dyDescent="0.2">
      <c r="A83">
        <v>1.7974294334318901E-7</v>
      </c>
      <c r="B83">
        <v>0.595484673842269</v>
      </c>
      <c r="C83">
        <v>0.88600000000000001</v>
      </c>
      <c r="D83">
        <v>0.48299999999999998</v>
      </c>
      <c r="E83">
        <v>2.7829599917825899E-3</v>
      </c>
      <c r="F83" t="s">
        <v>655</v>
      </c>
      <c r="G83" t="s">
        <v>656</v>
      </c>
      <c r="H83" t="s">
        <v>655</v>
      </c>
      <c r="I83" t="str">
        <f>HYPERLINK("https://zfin.org/ZDB-GENE-031201-4")</f>
        <v>https://zfin.org/ZDB-GENE-031201-4</v>
      </c>
      <c r="J83" t="s">
        <v>654</v>
      </c>
    </row>
    <row r="84" spans="1:10" x14ac:dyDescent="0.2">
      <c r="A84">
        <v>1.8587947420191099E-7</v>
      </c>
      <c r="B84">
        <v>0.555178648601373</v>
      </c>
      <c r="C84">
        <v>0.59599999999999997</v>
      </c>
      <c r="D84">
        <v>0.183</v>
      </c>
      <c r="E84">
        <v>2.8779718990681901E-3</v>
      </c>
      <c r="F84" t="s">
        <v>652</v>
      </c>
      <c r="G84" t="s">
        <v>653</v>
      </c>
      <c r="H84" t="s">
        <v>652</v>
      </c>
      <c r="I84" t="str">
        <f>HYPERLINK("https://zfin.org/ZDB-GENE-031118-20")</f>
        <v>https://zfin.org/ZDB-GENE-031118-20</v>
      </c>
      <c r="J84" t="s">
        <v>651</v>
      </c>
    </row>
    <row r="85" spans="1:10" x14ac:dyDescent="0.2">
      <c r="A85">
        <v>2.8939953901780501E-7</v>
      </c>
      <c r="B85">
        <v>0.48538381700018202</v>
      </c>
      <c r="C85">
        <v>0.754</v>
      </c>
      <c r="D85">
        <v>0.38300000000000001</v>
      </c>
      <c r="E85">
        <v>4.4807730626126698E-3</v>
      </c>
      <c r="F85" t="s">
        <v>649</v>
      </c>
      <c r="G85" t="s">
        <v>650</v>
      </c>
      <c r="H85" t="s">
        <v>649</v>
      </c>
      <c r="I85" t="str">
        <f>HYPERLINK("https://zfin.org/ZDB-GENE-040426-2152")</f>
        <v>https://zfin.org/ZDB-GENE-040426-2152</v>
      </c>
      <c r="J85" t="s">
        <v>648</v>
      </c>
    </row>
    <row r="86" spans="1:10" x14ac:dyDescent="0.2">
      <c r="A86">
        <v>3.39533832058878E-7</v>
      </c>
      <c r="B86">
        <v>0.58250303764016598</v>
      </c>
      <c r="C86">
        <v>0.68400000000000005</v>
      </c>
      <c r="D86">
        <v>0.26700000000000002</v>
      </c>
      <c r="E86">
        <v>5.2570023217676102E-3</v>
      </c>
      <c r="F86" t="s">
        <v>364</v>
      </c>
      <c r="G86" t="s">
        <v>365</v>
      </c>
      <c r="H86" t="s">
        <v>364</v>
      </c>
      <c r="I86" t="str">
        <f>HYPERLINK("https://zfin.org/ZDB-GENE-131105-1")</f>
        <v>https://zfin.org/ZDB-GENE-131105-1</v>
      </c>
      <c r="J86" t="s">
        <v>363</v>
      </c>
    </row>
    <row r="87" spans="1:10" x14ac:dyDescent="0.2">
      <c r="A87">
        <v>4.5275568448989601E-7</v>
      </c>
      <c r="B87">
        <v>0.92646017281470106</v>
      </c>
      <c r="C87">
        <v>0.94699999999999995</v>
      </c>
      <c r="D87">
        <v>0.65</v>
      </c>
      <c r="E87">
        <v>7.0100162629570598E-3</v>
      </c>
      <c r="F87" t="s">
        <v>646</v>
      </c>
      <c r="G87" t="s">
        <v>647</v>
      </c>
      <c r="H87" t="s">
        <v>646</v>
      </c>
      <c r="I87" t="str">
        <f>HYPERLINK("https://zfin.org/ZDB-GENE-030131-9170")</f>
        <v>https://zfin.org/ZDB-GENE-030131-9170</v>
      </c>
      <c r="J87" t="s">
        <v>645</v>
      </c>
    </row>
    <row r="88" spans="1:10" x14ac:dyDescent="0.2">
      <c r="A88">
        <v>4.7291360483109302E-7</v>
      </c>
      <c r="B88">
        <v>0.47088246002426298</v>
      </c>
      <c r="C88">
        <v>0.58799999999999997</v>
      </c>
      <c r="D88">
        <v>0.16700000000000001</v>
      </c>
      <c r="E88">
        <v>7.3221213435998101E-3</v>
      </c>
      <c r="F88" t="s">
        <v>643</v>
      </c>
      <c r="G88" t="s">
        <v>644</v>
      </c>
      <c r="H88" t="s">
        <v>643</v>
      </c>
      <c r="I88" t="str">
        <f>HYPERLINK("https://zfin.org/ZDB-GENE-040426-1740")</f>
        <v>https://zfin.org/ZDB-GENE-040426-1740</v>
      </c>
      <c r="J88" t="s">
        <v>642</v>
      </c>
    </row>
    <row r="89" spans="1:10" x14ac:dyDescent="0.2">
      <c r="A89">
        <v>4.8459506568115105E-7</v>
      </c>
      <c r="B89">
        <v>0.53453543262320302</v>
      </c>
      <c r="C89">
        <v>0.36</v>
      </c>
      <c r="D89">
        <v>1.7000000000000001E-2</v>
      </c>
      <c r="E89">
        <v>7.5029854019412496E-3</v>
      </c>
      <c r="F89" t="s">
        <v>640</v>
      </c>
      <c r="G89" t="s">
        <v>641</v>
      </c>
      <c r="H89" t="s">
        <v>640</v>
      </c>
      <c r="I89" t="str">
        <f>HYPERLINK("https://zfin.org/ZDB-GENE-040426-2737")</f>
        <v>https://zfin.org/ZDB-GENE-040426-2737</v>
      </c>
      <c r="J89" t="s">
        <v>639</v>
      </c>
    </row>
    <row r="90" spans="1:10" x14ac:dyDescent="0.2">
      <c r="A90">
        <v>5.5717664951318003E-7</v>
      </c>
      <c r="B90">
        <v>0.53325509670609195</v>
      </c>
      <c r="C90">
        <v>0.51800000000000002</v>
      </c>
      <c r="D90">
        <v>0.11700000000000001</v>
      </c>
      <c r="E90">
        <v>8.6267660644125596E-3</v>
      </c>
      <c r="F90" t="s">
        <v>637</v>
      </c>
      <c r="G90" t="s">
        <v>638</v>
      </c>
      <c r="H90" t="s">
        <v>637</v>
      </c>
      <c r="I90" t="str">
        <f>HYPERLINK("https://zfin.org/ZDB-GENE-111229-2")</f>
        <v>https://zfin.org/ZDB-GENE-111229-2</v>
      </c>
      <c r="J90" t="s">
        <v>636</v>
      </c>
    </row>
    <row r="91" spans="1:10" x14ac:dyDescent="0.2">
      <c r="A91">
        <v>5.7604765340635096E-7</v>
      </c>
      <c r="B91">
        <v>0.55543193772044197</v>
      </c>
      <c r="C91">
        <v>0.64900000000000002</v>
      </c>
      <c r="D91">
        <v>0.23300000000000001</v>
      </c>
      <c r="E91">
        <v>8.9189458176905396E-3</v>
      </c>
      <c r="F91" t="s">
        <v>358</v>
      </c>
      <c r="G91" t="s">
        <v>359</v>
      </c>
      <c r="H91" t="s">
        <v>358</v>
      </c>
      <c r="I91" t="str">
        <f>HYPERLINK("https://zfin.org/ZDB-GENE-060526-175")</f>
        <v>https://zfin.org/ZDB-GENE-060526-175</v>
      </c>
      <c r="J91" t="s">
        <v>357</v>
      </c>
    </row>
    <row r="92" spans="1:10" x14ac:dyDescent="0.2">
      <c r="A92">
        <v>5.9905434741093803E-7</v>
      </c>
      <c r="B92">
        <v>0.53885011630018498</v>
      </c>
      <c r="C92">
        <v>0.377</v>
      </c>
      <c r="D92">
        <v>3.3000000000000002E-2</v>
      </c>
      <c r="E92">
        <v>9.2751584609635507E-3</v>
      </c>
      <c r="F92" t="s">
        <v>634</v>
      </c>
      <c r="G92" t="s">
        <v>635</v>
      </c>
      <c r="H92" t="s">
        <v>634</v>
      </c>
      <c r="I92" t="str">
        <f>HYPERLINK("https://zfin.org/ZDB-GENE-030131-5673")</f>
        <v>https://zfin.org/ZDB-GENE-030131-5673</v>
      </c>
      <c r="J92" t="s">
        <v>633</v>
      </c>
    </row>
    <row r="93" spans="1:10" x14ac:dyDescent="0.2">
      <c r="A93">
        <v>7.6501406147161498E-7</v>
      </c>
      <c r="B93">
        <v>0.54845122317547401</v>
      </c>
      <c r="C93">
        <v>0.78900000000000003</v>
      </c>
      <c r="D93">
        <v>0.38300000000000001</v>
      </c>
      <c r="E93">
        <v>1.1844712713765001E-2</v>
      </c>
      <c r="F93" t="s">
        <v>631</v>
      </c>
      <c r="G93" t="s">
        <v>632</v>
      </c>
      <c r="H93" t="s">
        <v>631</v>
      </c>
      <c r="I93" t="str">
        <f>HYPERLINK("https://zfin.org/ZDB-GENE-030131-5606")</f>
        <v>https://zfin.org/ZDB-GENE-030131-5606</v>
      </c>
      <c r="J93" t="s">
        <v>630</v>
      </c>
    </row>
    <row r="94" spans="1:10" x14ac:dyDescent="0.2">
      <c r="A94">
        <v>8.5424211447014902E-7</v>
      </c>
      <c r="B94">
        <v>0.53071427017518302</v>
      </c>
      <c r="C94">
        <v>0.56999999999999995</v>
      </c>
      <c r="D94">
        <v>0.183</v>
      </c>
      <c r="E94">
        <v>1.32262306583413E-2</v>
      </c>
      <c r="F94" t="s">
        <v>628</v>
      </c>
      <c r="G94" t="s">
        <v>629</v>
      </c>
      <c r="H94" t="s">
        <v>628</v>
      </c>
      <c r="I94" t="str">
        <f>HYPERLINK("https://zfin.org/ZDB-GENE-091113-18")</f>
        <v>https://zfin.org/ZDB-GENE-091113-18</v>
      </c>
      <c r="J94" t="s">
        <v>627</v>
      </c>
    </row>
    <row r="95" spans="1:10" x14ac:dyDescent="0.2">
      <c r="A95">
        <v>8.7709017424991503E-7</v>
      </c>
      <c r="B95">
        <v>0.547077928511297</v>
      </c>
      <c r="C95">
        <v>0.79800000000000004</v>
      </c>
      <c r="D95">
        <v>0.4</v>
      </c>
      <c r="E95">
        <v>1.35799871679114E-2</v>
      </c>
      <c r="F95" t="s">
        <v>625</v>
      </c>
      <c r="G95" t="s">
        <v>626</v>
      </c>
      <c r="H95" t="s">
        <v>625</v>
      </c>
      <c r="I95" t="str">
        <f>HYPERLINK("https://zfin.org/ZDB-GENE-030131-3027")</f>
        <v>https://zfin.org/ZDB-GENE-030131-3027</v>
      </c>
      <c r="J95" t="s">
        <v>624</v>
      </c>
    </row>
    <row r="96" spans="1:10" x14ac:dyDescent="0.2">
      <c r="A96">
        <v>9.0003635279860999E-7</v>
      </c>
      <c r="B96">
        <v>0.51121261389044104</v>
      </c>
      <c r="C96">
        <v>0.46500000000000002</v>
      </c>
      <c r="D96">
        <v>0.1</v>
      </c>
      <c r="E96">
        <v>1.39352628503809E-2</v>
      </c>
      <c r="F96" t="s">
        <v>622</v>
      </c>
      <c r="G96" t="s">
        <v>623</v>
      </c>
      <c r="H96" t="s">
        <v>622</v>
      </c>
      <c r="I96" t="str">
        <f>HYPERLINK("https://zfin.org/ZDB-GENE-041014-339")</f>
        <v>https://zfin.org/ZDB-GENE-041014-339</v>
      </c>
      <c r="J96" t="s">
        <v>621</v>
      </c>
    </row>
    <row r="97" spans="1:10" x14ac:dyDescent="0.2">
      <c r="A97">
        <v>9.6713275612894197E-7</v>
      </c>
      <c r="B97">
        <v>0.47607774038270401</v>
      </c>
      <c r="C97">
        <v>0.623</v>
      </c>
      <c r="D97">
        <v>0.217</v>
      </c>
      <c r="E97">
        <v>1.49741164631444E-2</v>
      </c>
      <c r="F97" t="s">
        <v>619</v>
      </c>
      <c r="G97" t="s">
        <v>620</v>
      </c>
      <c r="H97" t="s">
        <v>619</v>
      </c>
      <c r="I97" t="str">
        <f>HYPERLINK("https://zfin.org/ZDB-GENE-131121-486")</f>
        <v>https://zfin.org/ZDB-GENE-131121-486</v>
      </c>
      <c r="J97" t="s">
        <v>618</v>
      </c>
    </row>
    <row r="98" spans="1:10" x14ac:dyDescent="0.2">
      <c r="A98">
        <v>1.05192706547725E-6</v>
      </c>
      <c r="B98">
        <v>0.41565069615757999</v>
      </c>
      <c r="C98">
        <v>0.746</v>
      </c>
      <c r="D98">
        <v>0.3</v>
      </c>
      <c r="E98">
        <v>1.6286986754784301E-2</v>
      </c>
      <c r="F98" t="s">
        <v>444</v>
      </c>
      <c r="G98" t="s">
        <v>445</v>
      </c>
      <c r="H98" t="s">
        <v>444</v>
      </c>
      <c r="I98" t="str">
        <f>HYPERLINK("https://zfin.org/ZDB-GENE-070820-17")</f>
        <v>https://zfin.org/ZDB-GENE-070820-17</v>
      </c>
      <c r="J98" t="s">
        <v>443</v>
      </c>
    </row>
    <row r="99" spans="1:10" x14ac:dyDescent="0.2">
      <c r="A99">
        <v>1.1248186371188601E-6</v>
      </c>
      <c r="B99">
        <v>0.59651411530700205</v>
      </c>
      <c r="C99">
        <v>0.39500000000000002</v>
      </c>
      <c r="D99">
        <v>0.05</v>
      </c>
      <c r="E99">
        <v>1.7415566958511298E-2</v>
      </c>
      <c r="F99" t="s">
        <v>616</v>
      </c>
      <c r="G99" t="s">
        <v>617</v>
      </c>
      <c r="H99" t="s">
        <v>616</v>
      </c>
      <c r="I99" t="str">
        <f>HYPERLINK("https://zfin.org/ZDB-GENE-031222-5")</f>
        <v>https://zfin.org/ZDB-GENE-031222-5</v>
      </c>
      <c r="J99" t="s">
        <v>615</v>
      </c>
    </row>
    <row r="100" spans="1:10" x14ac:dyDescent="0.2">
      <c r="A100">
        <v>1.54356199261953E-6</v>
      </c>
      <c r="B100">
        <v>0.47989879105295002</v>
      </c>
      <c r="C100">
        <v>0.57899999999999996</v>
      </c>
      <c r="D100">
        <v>0.16700000000000001</v>
      </c>
      <c r="E100">
        <v>2.3898970331728199E-2</v>
      </c>
      <c r="F100" t="s">
        <v>613</v>
      </c>
      <c r="G100" t="s">
        <v>614</v>
      </c>
      <c r="H100" t="s">
        <v>613</v>
      </c>
      <c r="I100" t="str">
        <f>HYPERLINK("https://zfin.org/ZDB-GENE-040718-425")</f>
        <v>https://zfin.org/ZDB-GENE-040718-425</v>
      </c>
      <c r="J100" t="s">
        <v>612</v>
      </c>
    </row>
    <row r="101" spans="1:10" x14ac:dyDescent="0.2">
      <c r="A101">
        <v>1.57869056580326E-6</v>
      </c>
      <c r="B101">
        <v>0.61897502871194399</v>
      </c>
      <c r="C101">
        <v>0.439</v>
      </c>
      <c r="D101">
        <v>8.3000000000000004E-2</v>
      </c>
      <c r="E101">
        <v>2.44428660303318E-2</v>
      </c>
      <c r="F101" t="s">
        <v>610</v>
      </c>
      <c r="G101" t="s">
        <v>611</v>
      </c>
      <c r="H101" t="s">
        <v>610</v>
      </c>
      <c r="I101" t="str">
        <f>HYPERLINK("https://zfin.org/ZDB-GENE-070209-295")</f>
        <v>https://zfin.org/ZDB-GENE-070209-295</v>
      </c>
      <c r="J101" t="s">
        <v>609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893AE-E3E3-A74E-AFC4-C30265048AB3}">
  <dimension ref="A1:J1541"/>
  <sheetViews>
    <sheetView workbookViewId="0">
      <pane ySplit="1" topLeftCell="A213" activePane="bottomLeft" state="frozen"/>
      <selection pane="bottomLeft" activeCell="C8" sqref="C8"/>
    </sheetView>
  </sheetViews>
  <sheetFormatPr baseColWidth="10" defaultRowHeight="15" x14ac:dyDescent="0.2"/>
  <cols>
    <col min="1" max="1" width="20.1640625" style="1" bestFit="1" customWidth="1"/>
    <col min="2" max="2" width="20" style="1" bestFit="1" customWidth="1"/>
    <col min="3" max="3" width="109.1640625" style="1" customWidth="1"/>
    <col min="4" max="5" width="34.1640625" style="1" bestFit="1" customWidth="1"/>
    <col min="6" max="6" width="12.1640625" style="1" bestFit="1" customWidth="1"/>
    <col min="7" max="7" width="12.6640625" style="1" bestFit="1" customWidth="1"/>
    <col min="8" max="9" width="6.1640625" style="1" bestFit="1" customWidth="1"/>
    <col min="10" max="10" width="13.33203125" style="1" bestFit="1" customWidth="1"/>
    <col min="11" max="16384" width="10.83203125" style="1"/>
  </cols>
  <sheetData>
    <row r="1" spans="1:10" x14ac:dyDescent="0.2">
      <c r="A1" s="5" t="s">
        <v>8868</v>
      </c>
      <c r="B1" s="1" t="s">
        <v>8867</v>
      </c>
      <c r="C1" s="1" t="s">
        <v>8866</v>
      </c>
      <c r="E1" s="1" t="s">
        <v>8865</v>
      </c>
      <c r="F1" s="1" t="s">
        <v>0</v>
      </c>
      <c r="G1" s="1" t="s">
        <v>8864</v>
      </c>
      <c r="H1" s="1" t="s">
        <v>2</v>
      </c>
      <c r="I1" s="1" t="s">
        <v>3</v>
      </c>
      <c r="J1" s="1" t="s">
        <v>8863</v>
      </c>
    </row>
    <row r="2" spans="1:10" x14ac:dyDescent="0.2">
      <c r="A2" s="1" t="s">
        <v>8862</v>
      </c>
      <c r="B2" s="1" t="s">
        <v>8861</v>
      </c>
      <c r="D2" s="2" t="str">
        <f t="shared" ref="D2:D65" si="0">HYPERLINK(E2)</f>
        <v>http://zfin.org/</v>
      </c>
      <c r="E2" s="1" t="s">
        <v>4625</v>
      </c>
      <c r="F2" s="1">
        <v>2.4481546296480201E-2</v>
      </c>
      <c r="G2" s="1">
        <v>0.25020782280838</v>
      </c>
      <c r="H2" s="1">
        <v>0.17499999999999999</v>
      </c>
      <c r="I2" s="1">
        <v>1.7000000000000001E-2</v>
      </c>
      <c r="J2" s="1">
        <v>1</v>
      </c>
    </row>
    <row r="3" spans="1:10" x14ac:dyDescent="0.2">
      <c r="A3" s="1" t="s">
        <v>8860</v>
      </c>
      <c r="B3" s="1" t="s">
        <v>8859</v>
      </c>
      <c r="C3" s="1" t="s">
        <v>8858</v>
      </c>
      <c r="D3" s="2" t="str">
        <f t="shared" si="0"/>
        <v>http://zfin.org/ZDB-GENE-030131-5667</v>
      </c>
      <c r="E3" s="1" t="s">
        <v>8857</v>
      </c>
      <c r="F3" s="1">
        <v>9.8576637540342699E-4</v>
      </c>
      <c r="G3" s="1">
        <v>0.25070473851596198</v>
      </c>
      <c r="H3" s="1">
        <v>0.158</v>
      </c>
      <c r="I3" s="1">
        <v>0</v>
      </c>
      <c r="J3" s="1">
        <v>1</v>
      </c>
    </row>
    <row r="4" spans="1:10" x14ac:dyDescent="0.2">
      <c r="A4" s="1" t="s">
        <v>8856</v>
      </c>
      <c r="B4" s="1" t="s">
        <v>8855</v>
      </c>
      <c r="C4" s="1" t="s">
        <v>8854</v>
      </c>
      <c r="D4" s="2" t="str">
        <f t="shared" si="0"/>
        <v>http://zfin.org/ZDB-GENE-050522-296</v>
      </c>
      <c r="E4" s="1" t="s">
        <v>8853</v>
      </c>
      <c r="F4" s="1">
        <v>4.5772925908023204E-3</v>
      </c>
      <c r="G4" s="1">
        <v>0.25096774960816198</v>
      </c>
      <c r="H4" s="1">
        <v>0.46500000000000002</v>
      </c>
      <c r="I4" s="1">
        <v>0.217</v>
      </c>
      <c r="J4" s="1">
        <v>1</v>
      </c>
    </row>
    <row r="5" spans="1:10" x14ac:dyDescent="0.2">
      <c r="A5" s="1" t="s">
        <v>8852</v>
      </c>
      <c r="B5" s="1" t="s">
        <v>8851</v>
      </c>
      <c r="C5" s="1" t="s">
        <v>8850</v>
      </c>
      <c r="D5" s="2" t="str">
        <f t="shared" si="0"/>
        <v>http://zfin.org/ZDB-GENE-040113-1</v>
      </c>
      <c r="E5" s="1" t="s">
        <v>8849</v>
      </c>
      <c r="F5" s="1">
        <v>4.5888174973883401E-2</v>
      </c>
      <c r="G5" s="1">
        <v>0.25114232853697899</v>
      </c>
      <c r="H5" s="1">
        <v>0.27200000000000002</v>
      </c>
      <c r="I5" s="1">
        <v>0.1</v>
      </c>
      <c r="J5" s="1">
        <v>1</v>
      </c>
    </row>
    <row r="6" spans="1:10" x14ac:dyDescent="0.2">
      <c r="A6" s="1" t="s">
        <v>8848</v>
      </c>
      <c r="B6" s="1" t="s">
        <v>8847</v>
      </c>
      <c r="C6" s="1" t="s">
        <v>8846</v>
      </c>
      <c r="D6" s="2" t="str">
        <f t="shared" si="0"/>
        <v>http://zfin.org/ZDB-GENE-041015-747</v>
      </c>
      <c r="E6" s="1" t="s">
        <v>8845</v>
      </c>
      <c r="F6" s="1">
        <v>5.2304875385907603E-3</v>
      </c>
      <c r="G6" s="1">
        <v>0.25125157958086503</v>
      </c>
      <c r="H6" s="1">
        <v>0.20200000000000001</v>
      </c>
      <c r="I6" s="1">
        <v>3.3000000000000002E-2</v>
      </c>
      <c r="J6" s="1">
        <v>1</v>
      </c>
    </row>
    <row r="7" spans="1:10" x14ac:dyDescent="0.2">
      <c r="A7" s="1" t="s">
        <v>8844</v>
      </c>
      <c r="B7" s="1" t="s">
        <v>8843</v>
      </c>
      <c r="C7" s="1" t="s">
        <v>8842</v>
      </c>
      <c r="D7" s="2" t="str">
        <f t="shared" si="0"/>
        <v>http://zfin.org/ZDB-GENE-040426-825</v>
      </c>
      <c r="E7" s="1" t="s">
        <v>8841</v>
      </c>
      <c r="F7" s="1">
        <v>9.4776864436022998E-3</v>
      </c>
      <c r="G7" s="1">
        <v>0.251457419922681</v>
      </c>
      <c r="H7" s="1">
        <v>0.36799999999999999</v>
      </c>
      <c r="I7" s="1">
        <v>0.183</v>
      </c>
      <c r="J7" s="1">
        <v>1</v>
      </c>
    </row>
    <row r="8" spans="1:10" x14ac:dyDescent="0.2">
      <c r="A8" s="1" t="s">
        <v>8840</v>
      </c>
      <c r="B8" s="1" t="s">
        <v>8839</v>
      </c>
      <c r="C8" s="1" t="s">
        <v>8838</v>
      </c>
      <c r="D8" s="2" t="str">
        <f t="shared" si="0"/>
        <v>http://zfin.org/ZDB-GENE-050522-156</v>
      </c>
      <c r="E8" s="1" t="s">
        <v>8837</v>
      </c>
      <c r="F8" s="1">
        <v>3.5482093353093797E-2</v>
      </c>
      <c r="G8" s="1">
        <v>0.25163509481879098</v>
      </c>
      <c r="H8" s="1">
        <v>0.158</v>
      </c>
      <c r="I8" s="1">
        <v>1.7000000000000001E-2</v>
      </c>
      <c r="J8" s="1">
        <v>1</v>
      </c>
    </row>
    <row r="9" spans="1:10" x14ac:dyDescent="0.2">
      <c r="A9" s="1" t="s">
        <v>8836</v>
      </c>
      <c r="B9" s="1" t="s">
        <v>8835</v>
      </c>
      <c r="C9" s="1" t="s">
        <v>8834</v>
      </c>
      <c r="D9" s="2" t="str">
        <f t="shared" si="0"/>
        <v>http://zfin.org/ZDB-GENE-030131-7291</v>
      </c>
      <c r="E9" s="1" t="s">
        <v>8833</v>
      </c>
      <c r="F9" s="1">
        <v>0.41367467306911698</v>
      </c>
      <c r="G9" s="1">
        <v>0.25206972863862198</v>
      </c>
      <c r="H9" s="1">
        <v>0.54400000000000004</v>
      </c>
      <c r="I9" s="1">
        <v>0.433</v>
      </c>
      <c r="J9" s="1">
        <v>1</v>
      </c>
    </row>
    <row r="10" spans="1:10" x14ac:dyDescent="0.2">
      <c r="A10" s="1" t="s">
        <v>4304</v>
      </c>
      <c r="B10" s="1" t="s">
        <v>4303</v>
      </c>
      <c r="C10" s="1" t="s">
        <v>4302</v>
      </c>
      <c r="D10" s="2" t="str">
        <f t="shared" si="0"/>
        <v>http://zfin.org/ZDB-GENE-050417-145</v>
      </c>
      <c r="E10" s="1" t="s">
        <v>8832</v>
      </c>
      <c r="F10" s="1">
        <v>0.51673724987237901</v>
      </c>
      <c r="G10" s="1">
        <v>0.25241277864489498</v>
      </c>
      <c r="H10" s="1">
        <v>0.36799999999999999</v>
      </c>
      <c r="I10" s="1">
        <v>0.33300000000000002</v>
      </c>
      <c r="J10" s="1">
        <v>1</v>
      </c>
    </row>
    <row r="11" spans="1:10" x14ac:dyDescent="0.2">
      <c r="A11" s="1" t="s">
        <v>8831</v>
      </c>
      <c r="B11" s="1" t="s">
        <v>8830</v>
      </c>
      <c r="C11" s="1" t="s">
        <v>8829</v>
      </c>
      <c r="D11" s="2" t="str">
        <f t="shared" si="0"/>
        <v>http://zfin.org/ZDB-GENE-061103-172</v>
      </c>
      <c r="E11" s="1" t="s">
        <v>8828</v>
      </c>
      <c r="F11" s="1">
        <v>4.5390453066748597E-2</v>
      </c>
      <c r="G11" s="1">
        <v>0.25247394066893702</v>
      </c>
      <c r="H11" s="1">
        <v>0.32500000000000001</v>
      </c>
      <c r="I11" s="1">
        <v>0.13300000000000001</v>
      </c>
      <c r="J11" s="1">
        <v>1</v>
      </c>
    </row>
    <row r="12" spans="1:10" x14ac:dyDescent="0.2">
      <c r="A12" s="1" t="s">
        <v>8827</v>
      </c>
      <c r="B12" s="1" t="s">
        <v>8826</v>
      </c>
      <c r="C12" s="1" t="s">
        <v>8825</v>
      </c>
      <c r="D12" s="2" t="str">
        <f t="shared" si="0"/>
        <v>http://zfin.org/ZDB-GENE-081104-97</v>
      </c>
      <c r="E12" s="1" t="s">
        <v>8824</v>
      </c>
      <c r="F12" s="1">
        <v>3.7274687505706801E-3</v>
      </c>
      <c r="G12" s="1">
        <v>0.25304730175816098</v>
      </c>
      <c r="H12" s="1">
        <v>0.20200000000000001</v>
      </c>
      <c r="I12" s="1">
        <v>0.05</v>
      </c>
      <c r="J12" s="1">
        <v>1</v>
      </c>
    </row>
    <row r="13" spans="1:10" x14ac:dyDescent="0.2">
      <c r="A13" s="1" t="s">
        <v>8823</v>
      </c>
      <c r="B13" s="1" t="s">
        <v>8822</v>
      </c>
      <c r="D13" s="2" t="str">
        <f t="shared" si="0"/>
        <v>http://zfin.org/</v>
      </c>
      <c r="E13" s="1" t="s">
        <v>4625</v>
      </c>
      <c r="F13" s="1">
        <v>4.0082385870307199E-3</v>
      </c>
      <c r="G13" s="1">
        <v>0.253261687980326</v>
      </c>
      <c r="H13" s="1">
        <v>0.20200000000000001</v>
      </c>
      <c r="I13" s="1">
        <v>1.7000000000000001E-2</v>
      </c>
      <c r="J13" s="1">
        <v>1</v>
      </c>
    </row>
    <row r="14" spans="1:10" x14ac:dyDescent="0.2">
      <c r="A14" s="1" t="s">
        <v>8821</v>
      </c>
      <c r="B14" s="1" t="s">
        <v>8820</v>
      </c>
      <c r="C14" s="1" t="s">
        <v>8819</v>
      </c>
      <c r="D14" s="2" t="str">
        <f t="shared" si="0"/>
        <v>http://zfin.org/ZDB-GENE-050601-1</v>
      </c>
      <c r="E14" s="1" t="s">
        <v>8818</v>
      </c>
      <c r="F14" s="1">
        <v>8.7883499381550004E-2</v>
      </c>
      <c r="G14" s="1">
        <v>0.253302072364676</v>
      </c>
      <c r="H14" s="1">
        <v>0.40400000000000003</v>
      </c>
      <c r="I14" s="1">
        <v>0.217</v>
      </c>
      <c r="J14" s="1">
        <v>1</v>
      </c>
    </row>
    <row r="15" spans="1:10" x14ac:dyDescent="0.2">
      <c r="A15" s="1" t="s">
        <v>8817</v>
      </c>
      <c r="B15" s="1" t="s">
        <v>8816</v>
      </c>
      <c r="C15" s="1" t="s">
        <v>8815</v>
      </c>
      <c r="D15" s="2" t="str">
        <f t="shared" si="0"/>
        <v>http://zfin.org/ZDB-GENE-990714-19</v>
      </c>
      <c r="E15" s="1" t="s">
        <v>8814</v>
      </c>
      <c r="F15" s="3">
        <v>5.4905979563311098E-5</v>
      </c>
      <c r="G15" s="1">
        <v>0.25359570456082198</v>
      </c>
      <c r="H15" s="1">
        <v>0.33300000000000002</v>
      </c>
      <c r="I15" s="1">
        <v>8.3000000000000004E-2</v>
      </c>
      <c r="J15" s="1">
        <v>1</v>
      </c>
    </row>
    <row r="16" spans="1:10" x14ac:dyDescent="0.2">
      <c r="A16" s="1" t="s">
        <v>8813</v>
      </c>
      <c r="B16" s="1" t="s">
        <v>8812</v>
      </c>
      <c r="C16" s="1" t="s">
        <v>8811</v>
      </c>
      <c r="D16" s="2" t="str">
        <f t="shared" si="0"/>
        <v>http://zfin.org/ZDB-GENE-040625-180</v>
      </c>
      <c r="E16" s="1" t="s">
        <v>8810</v>
      </c>
      <c r="F16" s="1">
        <v>1.84375527535196E-2</v>
      </c>
      <c r="G16" s="1">
        <v>0.25387030098517699</v>
      </c>
      <c r="H16" s="1">
        <v>0.98199999999999998</v>
      </c>
      <c r="I16" s="1">
        <v>0.95</v>
      </c>
      <c r="J16" s="1">
        <v>1</v>
      </c>
    </row>
    <row r="17" spans="1:10" x14ac:dyDescent="0.2">
      <c r="A17" s="1" t="s">
        <v>8809</v>
      </c>
      <c r="B17" s="1" t="s">
        <v>8808</v>
      </c>
      <c r="C17" s="1" t="s">
        <v>8807</v>
      </c>
      <c r="D17" s="2" t="str">
        <f t="shared" si="0"/>
        <v>http://zfin.org/ZDB-GENE-130530-910</v>
      </c>
      <c r="E17" s="1" t="s">
        <v>8806</v>
      </c>
      <c r="F17" s="1">
        <v>1.5884339086345501E-2</v>
      </c>
      <c r="G17" s="1">
        <v>0.25512315856664097</v>
      </c>
      <c r="H17" s="1">
        <v>0.17499999999999999</v>
      </c>
      <c r="I17" s="1">
        <v>1.7000000000000001E-2</v>
      </c>
      <c r="J17" s="1">
        <v>1</v>
      </c>
    </row>
    <row r="18" spans="1:10" x14ac:dyDescent="0.2">
      <c r="A18" s="1" t="s">
        <v>8805</v>
      </c>
      <c r="B18" s="1" t="s">
        <v>8804</v>
      </c>
      <c r="C18" s="1" t="s">
        <v>8803</v>
      </c>
      <c r="D18" s="2" t="str">
        <f t="shared" si="0"/>
        <v>http://zfin.org/ZDB-GENE-031006-8</v>
      </c>
      <c r="E18" s="1" t="s">
        <v>8802</v>
      </c>
      <c r="F18" s="1">
        <v>3.6840579237655698E-3</v>
      </c>
      <c r="G18" s="1">
        <v>0.255590762429245</v>
      </c>
      <c r="H18" s="1">
        <v>0.28899999999999998</v>
      </c>
      <c r="I18" s="1">
        <v>8.3000000000000004E-2</v>
      </c>
      <c r="J18" s="1">
        <v>1</v>
      </c>
    </row>
    <row r="19" spans="1:10" x14ac:dyDescent="0.2">
      <c r="A19" s="1" t="s">
        <v>8801</v>
      </c>
      <c r="B19" s="1" t="s">
        <v>8800</v>
      </c>
      <c r="C19" s="1" t="s">
        <v>8799</v>
      </c>
      <c r="D19" s="2" t="str">
        <f t="shared" si="0"/>
        <v>http://zfin.org/ZDB-GENE-080327-7</v>
      </c>
      <c r="E19" s="1" t="s">
        <v>8798</v>
      </c>
      <c r="F19" s="1">
        <v>1.01593753038377E-2</v>
      </c>
      <c r="G19" s="1">
        <v>0.25674393608317803</v>
      </c>
      <c r="H19" s="1">
        <v>0.28100000000000003</v>
      </c>
      <c r="I19" s="1">
        <v>8.3000000000000004E-2</v>
      </c>
      <c r="J19" s="1">
        <v>1</v>
      </c>
    </row>
    <row r="20" spans="1:10" x14ac:dyDescent="0.2">
      <c r="A20" s="1" t="s">
        <v>41</v>
      </c>
      <c r="B20" s="1" t="s">
        <v>40</v>
      </c>
      <c r="C20" s="1" t="s">
        <v>42</v>
      </c>
      <c r="D20" s="2" t="str">
        <f t="shared" si="0"/>
        <v>http://zfin.org/ZDB-GENE-030131-1819</v>
      </c>
      <c r="E20" s="1" t="s">
        <v>8797</v>
      </c>
      <c r="F20" s="1">
        <v>6.3964783211420101E-2</v>
      </c>
      <c r="G20" s="1">
        <v>0.25710998490296899</v>
      </c>
      <c r="H20" s="1">
        <v>0.877</v>
      </c>
      <c r="I20" s="1">
        <v>0.76700000000000002</v>
      </c>
      <c r="J20" s="1">
        <v>1</v>
      </c>
    </row>
    <row r="21" spans="1:10" x14ac:dyDescent="0.2">
      <c r="A21" s="1" t="s">
        <v>8796</v>
      </c>
      <c r="B21" s="1" t="s">
        <v>8795</v>
      </c>
      <c r="C21" s="1" t="s">
        <v>8794</v>
      </c>
      <c r="D21" s="2" t="str">
        <f t="shared" si="0"/>
        <v>http://zfin.org/</v>
      </c>
      <c r="E21" s="1" t="s">
        <v>4625</v>
      </c>
      <c r="F21" s="1">
        <v>6.2140773233313395E-4</v>
      </c>
      <c r="G21" s="1">
        <v>0.25790404823721602</v>
      </c>
      <c r="H21" s="1">
        <v>0.16700000000000001</v>
      </c>
      <c r="I21" s="1">
        <v>0</v>
      </c>
      <c r="J21" s="1">
        <v>1</v>
      </c>
    </row>
    <row r="22" spans="1:10" x14ac:dyDescent="0.2">
      <c r="A22" s="1" t="s">
        <v>8793</v>
      </c>
      <c r="B22" s="1" t="s">
        <v>8792</v>
      </c>
      <c r="C22" s="1" t="s">
        <v>8791</v>
      </c>
      <c r="D22" s="2" t="str">
        <f t="shared" si="0"/>
        <v>http://zfin.org/ZDB-GENE-091112-22</v>
      </c>
      <c r="E22" s="1" t="s">
        <v>8790</v>
      </c>
      <c r="F22" s="1">
        <v>1.7027669581486E-3</v>
      </c>
      <c r="G22" s="1">
        <v>0.25836993249800799</v>
      </c>
      <c r="H22" s="1">
        <v>0.193</v>
      </c>
      <c r="I22" s="1">
        <v>0.05</v>
      </c>
      <c r="J22" s="1">
        <v>1</v>
      </c>
    </row>
    <row r="23" spans="1:10" x14ac:dyDescent="0.2">
      <c r="A23" s="1" t="s">
        <v>8789</v>
      </c>
      <c r="B23" s="1" t="s">
        <v>8788</v>
      </c>
      <c r="C23" s="1" t="s">
        <v>8787</v>
      </c>
      <c r="D23" s="2" t="str">
        <f t="shared" si="0"/>
        <v>http://zfin.org/ZDB-GENE-040625-76</v>
      </c>
      <c r="E23" s="1" t="s">
        <v>8786</v>
      </c>
      <c r="F23" s="1">
        <v>6.3302618450928202E-2</v>
      </c>
      <c r="G23" s="1">
        <v>0.25886679349053898</v>
      </c>
      <c r="H23" s="1">
        <v>0.26300000000000001</v>
      </c>
      <c r="I23" s="1">
        <v>0.1</v>
      </c>
      <c r="J23" s="1">
        <v>1</v>
      </c>
    </row>
    <row r="24" spans="1:10" x14ac:dyDescent="0.2">
      <c r="A24" s="1" t="s">
        <v>8785</v>
      </c>
      <c r="B24" s="1" t="s">
        <v>8784</v>
      </c>
      <c r="C24" s="1" t="s">
        <v>8783</v>
      </c>
      <c r="D24" s="2" t="str">
        <f t="shared" si="0"/>
        <v>http://zfin.org/ZDB-GENE-010319-27</v>
      </c>
      <c r="E24" s="1" t="s">
        <v>8782</v>
      </c>
      <c r="F24" s="1">
        <v>1.6317455160439599E-3</v>
      </c>
      <c r="G24" s="1">
        <v>0.25933734024076299</v>
      </c>
      <c r="H24" s="1">
        <v>0.20200000000000001</v>
      </c>
      <c r="I24" s="1">
        <v>1.7000000000000001E-2</v>
      </c>
      <c r="J24" s="1">
        <v>1</v>
      </c>
    </row>
    <row r="25" spans="1:10" x14ac:dyDescent="0.2">
      <c r="A25" s="1" t="s">
        <v>8781</v>
      </c>
      <c r="B25" s="1" t="s">
        <v>8780</v>
      </c>
      <c r="C25" s="1" t="s">
        <v>8779</v>
      </c>
      <c r="D25" s="2" t="str">
        <f t="shared" si="0"/>
        <v>http://zfin.org/ZDB-GENE-031006-1</v>
      </c>
      <c r="E25" s="1" t="s">
        <v>8778</v>
      </c>
      <c r="F25" s="1">
        <v>1.36311090154269E-2</v>
      </c>
      <c r="G25" s="1">
        <v>0.25973149714696298</v>
      </c>
      <c r="H25" s="1">
        <v>0.66700000000000004</v>
      </c>
      <c r="I25" s="1">
        <v>0.41699999999999998</v>
      </c>
      <c r="J25" s="1">
        <v>1</v>
      </c>
    </row>
    <row r="26" spans="1:10" x14ac:dyDescent="0.2">
      <c r="A26" s="1" t="s">
        <v>1940</v>
      </c>
      <c r="B26" s="1" t="s">
        <v>1939</v>
      </c>
      <c r="C26" s="1" t="s">
        <v>1938</v>
      </c>
      <c r="D26" s="2" t="str">
        <f t="shared" si="0"/>
        <v>http://zfin.org/ZDB-GENE-050320-61</v>
      </c>
      <c r="E26" s="1" t="s">
        <v>8777</v>
      </c>
      <c r="F26" s="3">
        <v>1.47451479066729E-5</v>
      </c>
      <c r="G26" s="1">
        <v>0.25999086643055702</v>
      </c>
      <c r="H26" s="1">
        <v>1</v>
      </c>
      <c r="I26" s="1">
        <v>1</v>
      </c>
      <c r="J26" s="1">
        <v>1</v>
      </c>
    </row>
    <row r="27" spans="1:10" x14ac:dyDescent="0.2">
      <c r="A27" s="1" t="s">
        <v>8776</v>
      </c>
      <c r="B27" s="1" t="s">
        <v>8775</v>
      </c>
      <c r="C27" s="1" t="s">
        <v>8774</v>
      </c>
      <c r="D27" s="2" t="str">
        <f t="shared" si="0"/>
        <v>http://zfin.org/ZDB-GENE-021007-1</v>
      </c>
      <c r="E27" s="1" t="s">
        <v>8773</v>
      </c>
      <c r="F27" s="1">
        <v>1.40327192973749E-2</v>
      </c>
      <c r="G27" s="1">
        <v>0.26013205719889199</v>
      </c>
      <c r="H27" s="1">
        <v>0.105</v>
      </c>
      <c r="I27" s="1">
        <v>0</v>
      </c>
      <c r="J27" s="1">
        <v>1</v>
      </c>
    </row>
    <row r="28" spans="1:10" x14ac:dyDescent="0.2">
      <c r="A28" s="1" t="s">
        <v>8772</v>
      </c>
      <c r="B28" s="1" t="s">
        <v>8771</v>
      </c>
      <c r="C28" s="1" t="s">
        <v>8770</v>
      </c>
      <c r="D28" s="2" t="str">
        <f t="shared" si="0"/>
        <v>http://zfin.org/ZDB-GENE-060929-352</v>
      </c>
      <c r="E28" s="1" t="s">
        <v>8769</v>
      </c>
      <c r="F28" s="1">
        <v>2.93417425215254E-2</v>
      </c>
      <c r="G28" s="1">
        <v>0.26135045327160999</v>
      </c>
      <c r="H28" s="1">
        <v>0.22800000000000001</v>
      </c>
      <c r="I28" s="1">
        <v>6.7000000000000004E-2</v>
      </c>
      <c r="J28" s="1">
        <v>1</v>
      </c>
    </row>
    <row r="29" spans="1:10" x14ac:dyDescent="0.2">
      <c r="A29" s="1" t="s">
        <v>8768</v>
      </c>
      <c r="B29" s="1" t="s">
        <v>8767</v>
      </c>
      <c r="C29" s="1" t="s">
        <v>8766</v>
      </c>
      <c r="D29" s="2" t="str">
        <f t="shared" si="0"/>
        <v>http://zfin.org/ZDB-GENE-040426-1310</v>
      </c>
      <c r="E29" s="1" t="s">
        <v>8765</v>
      </c>
      <c r="F29" s="1">
        <v>1.4258113112696201E-2</v>
      </c>
      <c r="G29" s="1">
        <v>0.261775797024969</v>
      </c>
      <c r="H29" s="1">
        <v>0.746</v>
      </c>
      <c r="I29" s="1">
        <v>0.5</v>
      </c>
      <c r="J29" s="1">
        <v>1</v>
      </c>
    </row>
    <row r="30" spans="1:10" x14ac:dyDescent="0.2">
      <c r="A30" s="1" t="s">
        <v>2842</v>
      </c>
      <c r="B30" s="1" t="s">
        <v>2841</v>
      </c>
      <c r="C30" s="1" t="s">
        <v>2840</v>
      </c>
      <c r="D30" s="2" t="str">
        <f t="shared" si="0"/>
        <v>http://zfin.org/ZDB-GENE-031222-2</v>
      </c>
      <c r="E30" s="1" t="s">
        <v>8764</v>
      </c>
      <c r="F30" s="1">
        <v>5.6717517432562203E-4</v>
      </c>
      <c r="G30" s="1">
        <v>0.26184013135648798</v>
      </c>
      <c r="H30" s="1">
        <v>0.20200000000000001</v>
      </c>
      <c r="I30" s="1">
        <v>3.3000000000000002E-2</v>
      </c>
      <c r="J30" s="1">
        <v>1</v>
      </c>
    </row>
    <row r="31" spans="1:10" x14ac:dyDescent="0.2">
      <c r="A31" s="1" t="s">
        <v>8763</v>
      </c>
      <c r="B31" s="1" t="s">
        <v>8762</v>
      </c>
      <c r="C31" s="1" t="s">
        <v>8761</v>
      </c>
      <c r="D31" s="2" t="str">
        <f t="shared" si="0"/>
        <v>http://zfin.org/ZDB-GENE-080917-55</v>
      </c>
      <c r="E31" s="1" t="s">
        <v>8760</v>
      </c>
      <c r="F31" s="1">
        <v>5.2035666539336596E-3</v>
      </c>
      <c r="G31" s="1">
        <v>0.262529333889779</v>
      </c>
      <c r="H31" s="1">
        <v>0.21099999999999999</v>
      </c>
      <c r="I31" s="1">
        <v>1.7000000000000001E-2</v>
      </c>
      <c r="J31" s="1">
        <v>1</v>
      </c>
    </row>
    <row r="32" spans="1:10" x14ac:dyDescent="0.2">
      <c r="A32" s="1" t="s">
        <v>8759</v>
      </c>
      <c r="B32" s="1" t="s">
        <v>8758</v>
      </c>
      <c r="C32" s="1" t="s">
        <v>8757</v>
      </c>
      <c r="D32" s="2" t="str">
        <f t="shared" si="0"/>
        <v>http://zfin.org/ZDB-GENE-040718-9</v>
      </c>
      <c r="E32" s="1" t="s">
        <v>8756</v>
      </c>
      <c r="F32" s="1">
        <v>5.2600818612551399E-3</v>
      </c>
      <c r="G32" s="1">
        <v>0.26262294508859801</v>
      </c>
      <c r="H32" s="1">
        <v>0.56100000000000005</v>
      </c>
      <c r="I32" s="1">
        <v>0.3</v>
      </c>
      <c r="J32" s="1">
        <v>1</v>
      </c>
    </row>
    <row r="33" spans="1:10" x14ac:dyDescent="0.2">
      <c r="A33" s="1" t="s">
        <v>8755</v>
      </c>
      <c r="B33" s="1" t="s">
        <v>8754</v>
      </c>
      <c r="C33" s="1" t="s">
        <v>8753</v>
      </c>
      <c r="D33" s="2" t="str">
        <f t="shared" si="0"/>
        <v>http://zfin.org/ZDB-GENE-030131-18</v>
      </c>
      <c r="E33" s="1" t="s">
        <v>8752</v>
      </c>
      <c r="F33" s="1">
        <v>1.56018285523761E-2</v>
      </c>
      <c r="G33" s="1">
        <v>0.26295196467953602</v>
      </c>
      <c r="H33" s="1">
        <v>0.307</v>
      </c>
      <c r="I33" s="1">
        <v>0.1</v>
      </c>
      <c r="J33" s="1">
        <v>1</v>
      </c>
    </row>
    <row r="34" spans="1:10" x14ac:dyDescent="0.2">
      <c r="A34" s="1" t="s">
        <v>3665</v>
      </c>
      <c r="B34" s="1" t="s">
        <v>3664</v>
      </c>
      <c r="C34" s="1" t="s">
        <v>3663</v>
      </c>
      <c r="D34" s="2" t="str">
        <f t="shared" si="0"/>
        <v>http://zfin.org/ZDB-GENE-030804-10</v>
      </c>
      <c r="E34" s="1" t="s">
        <v>8751</v>
      </c>
      <c r="F34" s="1">
        <v>9.8718062299968906E-2</v>
      </c>
      <c r="G34" s="1">
        <v>0.26306771383605998</v>
      </c>
      <c r="H34" s="1">
        <v>0.71099999999999997</v>
      </c>
      <c r="I34" s="1">
        <v>0.55000000000000004</v>
      </c>
      <c r="J34" s="1">
        <v>1</v>
      </c>
    </row>
    <row r="35" spans="1:10" x14ac:dyDescent="0.2">
      <c r="A35" s="1" t="s">
        <v>2998</v>
      </c>
      <c r="B35" s="1" t="s">
        <v>2997</v>
      </c>
      <c r="C35" s="1" t="s">
        <v>2996</v>
      </c>
      <c r="D35" s="2" t="str">
        <f t="shared" si="0"/>
        <v>http://zfin.org/ZDB-GENE-090313-68</v>
      </c>
      <c r="E35" s="1" t="s">
        <v>8750</v>
      </c>
      <c r="F35" s="1">
        <v>1.05767702969991E-3</v>
      </c>
      <c r="G35" s="1">
        <v>0.26360265158999602</v>
      </c>
      <c r="H35" s="1">
        <v>0.34200000000000003</v>
      </c>
      <c r="I35" s="1">
        <v>0.183</v>
      </c>
      <c r="J35" s="1">
        <v>1</v>
      </c>
    </row>
    <row r="36" spans="1:10" x14ac:dyDescent="0.2">
      <c r="A36" s="1" t="s">
        <v>3222</v>
      </c>
      <c r="B36" s="1" t="s">
        <v>3221</v>
      </c>
      <c r="C36" s="1" t="s">
        <v>3220</v>
      </c>
      <c r="D36" s="2" t="str">
        <f t="shared" si="0"/>
        <v>http://zfin.org/ZDB-GENE-030131-41</v>
      </c>
      <c r="E36" s="1" t="s">
        <v>8749</v>
      </c>
      <c r="F36" s="3">
        <v>5.1229337920928998E-5</v>
      </c>
      <c r="G36" s="1">
        <v>0.26475703569907599</v>
      </c>
      <c r="H36" s="1">
        <v>0.61399999999999999</v>
      </c>
      <c r="I36" s="1">
        <v>0.28299999999999997</v>
      </c>
      <c r="J36" s="1">
        <v>1</v>
      </c>
    </row>
    <row r="37" spans="1:10" x14ac:dyDescent="0.2">
      <c r="A37" s="1" t="s">
        <v>8748</v>
      </c>
      <c r="B37" s="1" t="s">
        <v>8747</v>
      </c>
      <c r="C37" s="1" t="s">
        <v>8746</v>
      </c>
      <c r="D37" s="2" t="str">
        <f t="shared" si="0"/>
        <v>http://zfin.org/ZDB-GENE-130821-1</v>
      </c>
      <c r="E37" s="1" t="s">
        <v>8745</v>
      </c>
      <c r="F37" s="1">
        <v>1.42830022509205E-3</v>
      </c>
      <c r="G37" s="1">
        <v>0.26494091865570102</v>
      </c>
      <c r="H37" s="1">
        <v>0.193</v>
      </c>
      <c r="I37" s="1">
        <v>0.05</v>
      </c>
      <c r="J37" s="1">
        <v>1</v>
      </c>
    </row>
    <row r="38" spans="1:10" x14ac:dyDescent="0.2">
      <c r="A38" s="1" t="s">
        <v>8744</v>
      </c>
      <c r="B38" s="1" t="s">
        <v>8743</v>
      </c>
      <c r="C38" s="1" t="s">
        <v>8742</v>
      </c>
      <c r="D38" s="2" t="str">
        <f t="shared" si="0"/>
        <v>http://zfin.org/ZDB-GENE-030131-8820</v>
      </c>
      <c r="E38" s="1" t="s">
        <v>8741</v>
      </c>
      <c r="F38" s="1">
        <v>1.41167989726816E-2</v>
      </c>
      <c r="G38" s="1">
        <v>0.265071046079148</v>
      </c>
      <c r="H38" s="1">
        <v>0.316</v>
      </c>
      <c r="I38" s="1">
        <v>0.2</v>
      </c>
      <c r="J38" s="1">
        <v>1</v>
      </c>
    </row>
    <row r="39" spans="1:10" x14ac:dyDescent="0.2">
      <c r="A39" s="1" t="s">
        <v>8740</v>
      </c>
      <c r="B39" s="1" t="s">
        <v>8739</v>
      </c>
      <c r="C39" s="1" t="s">
        <v>8738</v>
      </c>
      <c r="D39" s="2" t="str">
        <f t="shared" si="0"/>
        <v>http://zfin.org/ZDB-GENE-081022-43</v>
      </c>
      <c r="E39" s="1" t="s">
        <v>8737</v>
      </c>
      <c r="F39" s="1">
        <v>2.12964106483642E-4</v>
      </c>
      <c r="G39" s="1">
        <v>0.26516006499521499</v>
      </c>
      <c r="H39" s="1">
        <v>0.23699999999999999</v>
      </c>
      <c r="I39" s="1">
        <v>6.7000000000000004E-2</v>
      </c>
      <c r="J39" s="1">
        <v>1</v>
      </c>
    </row>
    <row r="40" spans="1:10" x14ac:dyDescent="0.2">
      <c r="A40" s="1" t="s">
        <v>8736</v>
      </c>
      <c r="B40" s="1" t="s">
        <v>8735</v>
      </c>
      <c r="C40" s="1" t="s">
        <v>8734</v>
      </c>
      <c r="D40" s="2" t="str">
        <f t="shared" si="0"/>
        <v>http://zfin.org/ZDB-GENE-030131-7582</v>
      </c>
      <c r="E40" s="1" t="s">
        <v>8733</v>
      </c>
      <c r="F40" s="1">
        <v>3.9298163103807099E-3</v>
      </c>
      <c r="G40" s="1">
        <v>0.26580125314455</v>
      </c>
      <c r="H40" s="1">
        <v>0.28899999999999998</v>
      </c>
      <c r="I40" s="1">
        <v>0.1</v>
      </c>
      <c r="J40" s="1">
        <v>1</v>
      </c>
    </row>
    <row r="41" spans="1:10" x14ac:dyDescent="0.2">
      <c r="A41" s="1" t="s">
        <v>8732</v>
      </c>
      <c r="B41" s="1" t="s">
        <v>8731</v>
      </c>
      <c r="C41" s="1" t="s">
        <v>8730</v>
      </c>
      <c r="D41" s="2" t="str">
        <f t="shared" si="0"/>
        <v>http://zfin.org/ZDB-GENE-030828-1</v>
      </c>
      <c r="E41" s="1" t="s">
        <v>8729</v>
      </c>
      <c r="F41" s="1">
        <v>2.40045197115401E-4</v>
      </c>
      <c r="G41" s="1">
        <v>0.26594626040890101</v>
      </c>
      <c r="H41" s="1">
        <v>0.377</v>
      </c>
      <c r="I41" s="1">
        <v>0.11700000000000001</v>
      </c>
      <c r="J41" s="1">
        <v>1</v>
      </c>
    </row>
    <row r="42" spans="1:10" x14ac:dyDescent="0.2">
      <c r="A42" s="1" t="s">
        <v>8728</v>
      </c>
      <c r="B42" s="1" t="s">
        <v>8727</v>
      </c>
      <c r="C42" s="1" t="s">
        <v>8726</v>
      </c>
      <c r="D42" s="2" t="str">
        <f t="shared" si="0"/>
        <v>http://zfin.org/ZDB-GENE-030729-9</v>
      </c>
      <c r="E42" s="1" t="s">
        <v>8725</v>
      </c>
      <c r="F42" s="3">
        <v>1.0415678004366299E-7</v>
      </c>
      <c r="G42" s="1">
        <v>0.26606546651424801</v>
      </c>
      <c r="H42" s="1">
        <v>0.46500000000000002</v>
      </c>
      <c r="I42" s="1">
        <v>0.13300000000000001</v>
      </c>
      <c r="J42" s="1">
        <v>1</v>
      </c>
    </row>
    <row r="43" spans="1:10" x14ac:dyDescent="0.2">
      <c r="A43" s="1" t="s">
        <v>8724</v>
      </c>
      <c r="B43" s="1" t="s">
        <v>8723</v>
      </c>
      <c r="C43" s="1" t="s">
        <v>8722</v>
      </c>
      <c r="D43" s="2" t="str">
        <f t="shared" si="0"/>
        <v>http://zfin.org/ZDB-GENE-030131-1697</v>
      </c>
      <c r="E43" s="1" t="s">
        <v>8721</v>
      </c>
      <c r="F43" s="1">
        <v>3.9278319616189099E-2</v>
      </c>
      <c r="G43" s="1">
        <v>0.26608415530357499</v>
      </c>
      <c r="H43" s="1">
        <v>0.28100000000000003</v>
      </c>
      <c r="I43" s="1">
        <v>0.1</v>
      </c>
      <c r="J43" s="1">
        <v>1</v>
      </c>
    </row>
    <row r="44" spans="1:10" x14ac:dyDescent="0.2">
      <c r="A44" s="1" t="s">
        <v>8720</v>
      </c>
      <c r="B44" s="1" t="s">
        <v>8719</v>
      </c>
      <c r="C44" s="1" t="s">
        <v>8718</v>
      </c>
      <c r="D44" s="2" t="str">
        <f t="shared" si="0"/>
        <v>http://zfin.org/ZDB-GENE-040426-1206</v>
      </c>
      <c r="E44" s="1" t="s">
        <v>8717</v>
      </c>
      <c r="F44" s="1">
        <v>9.8877971330426696E-4</v>
      </c>
      <c r="G44" s="1">
        <v>0.26628595135145799</v>
      </c>
      <c r="H44" s="1">
        <v>0.219</v>
      </c>
      <c r="I44" s="1">
        <v>3.3000000000000002E-2</v>
      </c>
      <c r="J44" s="1">
        <v>1</v>
      </c>
    </row>
    <row r="45" spans="1:10" x14ac:dyDescent="0.2">
      <c r="A45" s="1" t="s">
        <v>8716</v>
      </c>
      <c r="B45" s="1" t="s">
        <v>8715</v>
      </c>
      <c r="C45" s="1" t="s">
        <v>8714</v>
      </c>
      <c r="D45" s="2" t="str">
        <f t="shared" si="0"/>
        <v>http://zfin.org/ZDB-GENE-050327-9</v>
      </c>
      <c r="E45" s="1" t="s">
        <v>8713</v>
      </c>
      <c r="F45" s="1">
        <v>4.5250755455931199E-2</v>
      </c>
      <c r="G45" s="1">
        <v>0.26753398765525399</v>
      </c>
      <c r="H45" s="1">
        <v>0.14899999999999999</v>
      </c>
      <c r="I45" s="1">
        <v>1.7000000000000001E-2</v>
      </c>
      <c r="J45" s="1">
        <v>1</v>
      </c>
    </row>
    <row r="46" spans="1:10" x14ac:dyDescent="0.2">
      <c r="A46" s="1" t="s">
        <v>8712</v>
      </c>
      <c r="B46" s="1" t="s">
        <v>8711</v>
      </c>
      <c r="C46" s="1" t="s">
        <v>8710</v>
      </c>
      <c r="D46" s="2" t="str">
        <f t="shared" si="0"/>
        <v>http://zfin.org/ZDB-GENE-040704-6</v>
      </c>
      <c r="E46" s="1" t="s">
        <v>8709</v>
      </c>
      <c r="F46" s="1">
        <v>3.3224923408161099E-2</v>
      </c>
      <c r="G46" s="1">
        <v>0.27165213532764998</v>
      </c>
      <c r="H46" s="1">
        <v>0.307</v>
      </c>
      <c r="I46" s="1">
        <v>0.13300000000000001</v>
      </c>
      <c r="J46" s="1">
        <v>1</v>
      </c>
    </row>
    <row r="47" spans="1:10" x14ac:dyDescent="0.2">
      <c r="A47" s="1" t="s">
        <v>8708</v>
      </c>
      <c r="B47" s="1" t="s">
        <v>8707</v>
      </c>
      <c r="D47" s="2" t="str">
        <f t="shared" si="0"/>
        <v>http://zfin.org/</v>
      </c>
      <c r="E47" s="1" t="s">
        <v>4625</v>
      </c>
      <c r="F47" s="1">
        <v>3.8128043016933998E-3</v>
      </c>
      <c r="G47" s="1">
        <v>0.272107304946682</v>
      </c>
      <c r="H47" s="1">
        <v>0.13200000000000001</v>
      </c>
      <c r="I47" s="1">
        <v>0</v>
      </c>
      <c r="J47" s="1">
        <v>1</v>
      </c>
    </row>
    <row r="48" spans="1:10" x14ac:dyDescent="0.2">
      <c r="A48" s="1" t="s">
        <v>8706</v>
      </c>
      <c r="B48" s="1" t="s">
        <v>8705</v>
      </c>
      <c r="C48" s="1" t="s">
        <v>8704</v>
      </c>
      <c r="D48" s="2" t="str">
        <f t="shared" si="0"/>
        <v>http://zfin.org/ZDB-GENE-030131-8369</v>
      </c>
      <c r="E48" s="1" t="s">
        <v>8703</v>
      </c>
      <c r="F48" s="1">
        <v>8.8849948739482196E-3</v>
      </c>
      <c r="G48" s="1">
        <v>0.27263875563506701</v>
      </c>
      <c r="H48" s="1">
        <v>0.82499999999999996</v>
      </c>
      <c r="I48" s="1">
        <v>0.58299999999999996</v>
      </c>
      <c r="J48" s="1">
        <v>1</v>
      </c>
    </row>
    <row r="49" spans="1:10" x14ac:dyDescent="0.2">
      <c r="A49" s="1" t="s">
        <v>1302</v>
      </c>
      <c r="B49" s="1" t="s">
        <v>1301</v>
      </c>
      <c r="C49" s="1" t="s">
        <v>1300</v>
      </c>
      <c r="D49" s="2" t="str">
        <f t="shared" si="0"/>
        <v>http://zfin.org/ZDB-GENE-030925-2</v>
      </c>
      <c r="E49" s="1" t="s">
        <v>8702</v>
      </c>
      <c r="F49" s="1">
        <v>5.8604681710287896E-4</v>
      </c>
      <c r="G49" s="1">
        <v>0.27325840084815201</v>
      </c>
      <c r="H49" s="1">
        <v>0.42099999999999999</v>
      </c>
      <c r="I49" s="1">
        <v>0.15</v>
      </c>
      <c r="J49" s="1">
        <v>1</v>
      </c>
    </row>
    <row r="50" spans="1:10" x14ac:dyDescent="0.2">
      <c r="A50" s="1" t="s">
        <v>8701</v>
      </c>
      <c r="B50" s="1" t="s">
        <v>8700</v>
      </c>
      <c r="C50" s="1" t="s">
        <v>8699</v>
      </c>
      <c r="D50" s="2" t="str">
        <f t="shared" si="0"/>
        <v>http://zfin.org/ZDB-GENE-030131-9020</v>
      </c>
      <c r="E50" s="1" t="s">
        <v>8698</v>
      </c>
      <c r="F50" s="1">
        <v>3.2747537766412201E-3</v>
      </c>
      <c r="G50" s="1">
        <v>0.27328422032765298</v>
      </c>
      <c r="H50" s="1">
        <v>0.36</v>
      </c>
      <c r="I50" s="1">
        <v>0.13300000000000001</v>
      </c>
      <c r="J50" s="1">
        <v>1</v>
      </c>
    </row>
    <row r="51" spans="1:10" x14ac:dyDescent="0.2">
      <c r="A51" s="1" t="s">
        <v>8697</v>
      </c>
      <c r="B51" s="1" t="s">
        <v>8696</v>
      </c>
      <c r="C51" s="1" t="s">
        <v>8695</v>
      </c>
      <c r="D51" s="2" t="str">
        <f t="shared" si="0"/>
        <v>http://zfin.org/ZDB-GENE-041111-283</v>
      </c>
      <c r="E51" s="1" t="s">
        <v>8694</v>
      </c>
      <c r="F51" s="1">
        <v>5.1847417143447098E-3</v>
      </c>
      <c r="G51" s="1">
        <v>0.27387500381396501</v>
      </c>
      <c r="H51" s="1">
        <v>0.21099999999999999</v>
      </c>
      <c r="I51" s="1">
        <v>3.3000000000000002E-2</v>
      </c>
      <c r="J51" s="1">
        <v>1</v>
      </c>
    </row>
    <row r="52" spans="1:10" x14ac:dyDescent="0.2">
      <c r="A52" s="1" t="s">
        <v>8693</v>
      </c>
      <c r="B52" s="1" t="s">
        <v>8692</v>
      </c>
      <c r="C52" s="1" t="s">
        <v>8691</v>
      </c>
      <c r="D52" s="2" t="str">
        <f t="shared" si="0"/>
        <v>http://zfin.org/ZDB-GENE-100209-2</v>
      </c>
      <c r="E52" s="1" t="s">
        <v>8690</v>
      </c>
      <c r="F52" s="1">
        <v>7.8487368625229995E-2</v>
      </c>
      <c r="G52" s="1">
        <v>0.27452470328753997</v>
      </c>
      <c r="H52" s="1">
        <v>0.33300000000000002</v>
      </c>
      <c r="I52" s="1">
        <v>0.16700000000000001</v>
      </c>
      <c r="J52" s="1">
        <v>1</v>
      </c>
    </row>
    <row r="53" spans="1:10" x14ac:dyDescent="0.2">
      <c r="A53" s="1" t="s">
        <v>8689</v>
      </c>
      <c r="B53" s="1" t="s">
        <v>8688</v>
      </c>
      <c r="C53" s="1" t="s">
        <v>8687</v>
      </c>
      <c r="D53" s="2" t="str">
        <f t="shared" si="0"/>
        <v>http://zfin.org/ZDB-GENE-040426-2204</v>
      </c>
      <c r="E53" s="1" t="s">
        <v>8686</v>
      </c>
      <c r="F53" s="1">
        <v>1.0223946351545001E-2</v>
      </c>
      <c r="G53" s="1">
        <v>0.27511788633927498</v>
      </c>
      <c r="H53" s="1">
        <v>0.76300000000000001</v>
      </c>
      <c r="I53" s="1">
        <v>0.51700000000000002</v>
      </c>
      <c r="J53" s="1">
        <v>1</v>
      </c>
    </row>
    <row r="54" spans="1:10" x14ac:dyDescent="0.2">
      <c r="A54" s="1" t="s">
        <v>8685</v>
      </c>
      <c r="B54" s="1" t="s">
        <v>8684</v>
      </c>
      <c r="C54" s="1" t="s">
        <v>8683</v>
      </c>
      <c r="D54" s="2" t="str">
        <f t="shared" si="0"/>
        <v>http://zfin.org/ZDB-GENE-070228-6</v>
      </c>
      <c r="E54" s="1" t="s">
        <v>8682</v>
      </c>
      <c r="F54" s="1">
        <v>1.0592997480588E-2</v>
      </c>
      <c r="G54" s="1">
        <v>0.275417157549395</v>
      </c>
      <c r="H54" s="1">
        <v>0.184</v>
      </c>
      <c r="I54" s="1">
        <v>1.7000000000000001E-2</v>
      </c>
      <c r="J54" s="1">
        <v>1</v>
      </c>
    </row>
    <row r="55" spans="1:10" x14ac:dyDescent="0.2">
      <c r="A55" s="1" t="s">
        <v>8681</v>
      </c>
      <c r="B55" s="1" t="s">
        <v>8680</v>
      </c>
      <c r="C55" s="1" t="s">
        <v>8679</v>
      </c>
      <c r="D55" s="2" t="str">
        <f t="shared" si="0"/>
        <v>http://zfin.org/ZDB-GENE-050417-371</v>
      </c>
      <c r="E55" s="1" t="s">
        <v>8678</v>
      </c>
      <c r="F55" s="1">
        <v>1.0454752767190999E-2</v>
      </c>
      <c r="G55" s="1">
        <v>0.27559807877329801</v>
      </c>
      <c r="H55" s="1">
        <v>0.27200000000000002</v>
      </c>
      <c r="I55" s="1">
        <v>8.3000000000000004E-2</v>
      </c>
      <c r="J55" s="1">
        <v>1</v>
      </c>
    </row>
    <row r="56" spans="1:10" x14ac:dyDescent="0.2">
      <c r="A56" s="1" t="s">
        <v>8677</v>
      </c>
      <c r="B56" s="1" t="s">
        <v>8676</v>
      </c>
      <c r="C56" s="1" t="s">
        <v>8675</v>
      </c>
      <c r="D56" s="2" t="str">
        <f t="shared" si="0"/>
        <v>http://zfin.org/ZDB-GENE-050522-153</v>
      </c>
      <c r="E56" s="1" t="s">
        <v>8674</v>
      </c>
      <c r="F56" s="1">
        <v>1.7651811632413299E-2</v>
      </c>
      <c r="G56" s="1">
        <v>0.27568348208585902</v>
      </c>
      <c r="H56" s="1">
        <v>0.96499999999999997</v>
      </c>
      <c r="I56" s="1">
        <v>0.86699999999999999</v>
      </c>
      <c r="J56" s="1">
        <v>1</v>
      </c>
    </row>
    <row r="57" spans="1:10" x14ac:dyDescent="0.2">
      <c r="A57" s="1" t="s">
        <v>8673</v>
      </c>
      <c r="B57" s="1" t="s">
        <v>8672</v>
      </c>
      <c r="C57" s="1" t="s">
        <v>8671</v>
      </c>
      <c r="D57" s="2" t="str">
        <f t="shared" si="0"/>
        <v>http://zfin.org/ZDB-GENE-040625-74</v>
      </c>
      <c r="E57" s="1" t="s">
        <v>8670</v>
      </c>
      <c r="F57" s="1">
        <v>1.5132707587171799E-2</v>
      </c>
      <c r="G57" s="1">
        <v>0.27658985231008398</v>
      </c>
      <c r="H57" s="1">
        <v>0.439</v>
      </c>
      <c r="I57" s="1">
        <v>0.2</v>
      </c>
      <c r="J57" s="1">
        <v>1</v>
      </c>
    </row>
    <row r="58" spans="1:10" x14ac:dyDescent="0.2">
      <c r="A58" s="1" t="s">
        <v>8669</v>
      </c>
      <c r="B58" s="1" t="s">
        <v>8668</v>
      </c>
      <c r="C58" s="1" t="s">
        <v>8667</v>
      </c>
      <c r="D58" s="2" t="str">
        <f t="shared" si="0"/>
        <v>http://zfin.org/ZDB-GENE-020731-6</v>
      </c>
      <c r="E58" s="1" t="s">
        <v>8666</v>
      </c>
      <c r="F58" s="1">
        <v>3.2160205752441702E-4</v>
      </c>
      <c r="G58" s="1">
        <v>0.27670746791346901</v>
      </c>
      <c r="H58" s="1">
        <v>0.27200000000000002</v>
      </c>
      <c r="I58" s="1">
        <v>0.11700000000000001</v>
      </c>
      <c r="J58" s="1">
        <v>1</v>
      </c>
    </row>
    <row r="59" spans="1:10" x14ac:dyDescent="0.2">
      <c r="A59" s="1" t="s">
        <v>3409</v>
      </c>
      <c r="B59" s="1" t="s">
        <v>3408</v>
      </c>
      <c r="C59" s="1" t="s">
        <v>3407</v>
      </c>
      <c r="D59" s="2" t="str">
        <f t="shared" si="0"/>
        <v>http://zfin.org/ZDB-GENE-131127-559</v>
      </c>
      <c r="E59" s="1" t="s">
        <v>8665</v>
      </c>
      <c r="F59" s="3">
        <v>1.35108477842056E-8</v>
      </c>
      <c r="G59" s="1">
        <v>0.27710972138012901</v>
      </c>
      <c r="H59" s="1">
        <v>0.27200000000000002</v>
      </c>
      <c r="I59" s="1">
        <v>1.7000000000000001E-2</v>
      </c>
      <c r="J59" s="1">
        <v>1</v>
      </c>
    </row>
    <row r="60" spans="1:10" x14ac:dyDescent="0.2">
      <c r="A60" s="1" t="s">
        <v>8664</v>
      </c>
      <c r="B60" s="1" t="s">
        <v>8663</v>
      </c>
      <c r="C60" s="1" t="s">
        <v>8662</v>
      </c>
      <c r="D60" s="2" t="str">
        <f t="shared" si="0"/>
        <v>http://zfin.org/ZDB-GENE-081104-219</v>
      </c>
      <c r="E60" s="1" t="s">
        <v>8661</v>
      </c>
      <c r="F60" s="1">
        <v>2.88217237479786E-2</v>
      </c>
      <c r="G60" s="1">
        <v>0.27734126768057299</v>
      </c>
      <c r="H60" s="1">
        <v>0.56999999999999995</v>
      </c>
      <c r="I60" s="1">
        <v>0.33300000000000002</v>
      </c>
      <c r="J60" s="1">
        <v>1</v>
      </c>
    </row>
    <row r="61" spans="1:10" x14ac:dyDescent="0.2">
      <c r="A61" s="1" t="s">
        <v>220</v>
      </c>
      <c r="B61" s="1" t="s">
        <v>219</v>
      </c>
      <c r="C61" s="1" t="s">
        <v>221</v>
      </c>
      <c r="D61" s="2" t="str">
        <f t="shared" si="0"/>
        <v>http://zfin.org/ZDB-GENE-121214-200</v>
      </c>
      <c r="E61" s="1" t="s">
        <v>8660</v>
      </c>
      <c r="F61" s="1">
        <v>2.1766217909543799E-2</v>
      </c>
      <c r="G61" s="1">
        <v>0.27780362994357599</v>
      </c>
      <c r="H61" s="1">
        <v>0.73699999999999999</v>
      </c>
      <c r="I61" s="1">
        <v>0.61699999999999999</v>
      </c>
      <c r="J61" s="1">
        <v>1</v>
      </c>
    </row>
    <row r="62" spans="1:10" x14ac:dyDescent="0.2">
      <c r="A62" s="1" t="s">
        <v>8659</v>
      </c>
      <c r="B62" s="1" t="s">
        <v>8658</v>
      </c>
      <c r="C62" s="1" t="s">
        <v>8657</v>
      </c>
      <c r="D62" s="2" t="str">
        <f t="shared" si="0"/>
        <v>http://zfin.org/ZDB-GENE-040718-445</v>
      </c>
      <c r="E62" s="1" t="s">
        <v>8656</v>
      </c>
      <c r="F62" s="1">
        <v>2.6333437539579501E-4</v>
      </c>
      <c r="G62" s="1">
        <v>0.27781169232089098</v>
      </c>
      <c r="H62" s="1">
        <v>0.65800000000000003</v>
      </c>
      <c r="I62" s="1">
        <v>0.33300000000000002</v>
      </c>
      <c r="J62" s="1">
        <v>1</v>
      </c>
    </row>
    <row r="63" spans="1:10" x14ac:dyDescent="0.2">
      <c r="A63" s="1" t="s">
        <v>8655</v>
      </c>
      <c r="B63" s="1" t="s">
        <v>8654</v>
      </c>
      <c r="C63" s="1" t="s">
        <v>8653</v>
      </c>
      <c r="D63" s="2" t="str">
        <f t="shared" si="0"/>
        <v>http://zfin.org/ZDB-GENE-041001-106</v>
      </c>
      <c r="E63" s="1" t="s">
        <v>8652</v>
      </c>
      <c r="F63" s="1">
        <v>3.0171790743844601E-2</v>
      </c>
      <c r="G63" s="1">
        <v>0.27832164336392801</v>
      </c>
      <c r="H63" s="1">
        <v>0.32500000000000001</v>
      </c>
      <c r="I63" s="1">
        <v>0.16700000000000001</v>
      </c>
      <c r="J63" s="1">
        <v>1</v>
      </c>
    </row>
    <row r="64" spans="1:10" x14ac:dyDescent="0.2">
      <c r="A64" s="1" t="s">
        <v>8651</v>
      </c>
      <c r="B64" s="1" t="s">
        <v>8650</v>
      </c>
      <c r="C64" s="1" t="s">
        <v>8649</v>
      </c>
      <c r="D64" s="2" t="str">
        <f t="shared" si="0"/>
        <v>http://zfin.org/ZDB-GENE-040724-113</v>
      </c>
      <c r="E64" s="1" t="s">
        <v>8648</v>
      </c>
      <c r="F64" s="1">
        <v>1.3080869125023701E-4</v>
      </c>
      <c r="G64" s="1">
        <v>0.27897790664739902</v>
      </c>
      <c r="H64" s="1">
        <v>0.88600000000000001</v>
      </c>
      <c r="I64" s="1">
        <v>0.58299999999999996</v>
      </c>
      <c r="J64" s="1">
        <v>1</v>
      </c>
    </row>
    <row r="65" spans="1:10" x14ac:dyDescent="0.2">
      <c r="A65" s="1" t="s">
        <v>8647</v>
      </c>
      <c r="B65" s="1" t="s">
        <v>8646</v>
      </c>
      <c r="C65" s="1" t="s">
        <v>8645</v>
      </c>
      <c r="D65" s="2" t="str">
        <f t="shared" si="0"/>
        <v>http://zfin.org/ZDB-GENE-040912-49</v>
      </c>
      <c r="E65" s="1" t="s">
        <v>8644</v>
      </c>
      <c r="F65" s="1">
        <v>3.13144348750644E-3</v>
      </c>
      <c r="G65" s="1">
        <v>0.27951471350756102</v>
      </c>
      <c r="H65" s="1">
        <v>0.66700000000000004</v>
      </c>
      <c r="I65" s="1">
        <v>0.4</v>
      </c>
      <c r="J65" s="1">
        <v>1</v>
      </c>
    </row>
    <row r="66" spans="1:10" x14ac:dyDescent="0.2">
      <c r="A66" s="1" t="s">
        <v>8643</v>
      </c>
      <c r="B66" s="1" t="s">
        <v>8642</v>
      </c>
      <c r="C66" s="1" t="s">
        <v>8641</v>
      </c>
      <c r="D66" s="2" t="str">
        <f t="shared" ref="D66:D129" si="1">HYPERLINK(E66)</f>
        <v>http://zfin.org/ZDB-GENE-081104-295</v>
      </c>
      <c r="E66" s="1" t="s">
        <v>8640</v>
      </c>
      <c r="F66" s="1">
        <v>6.2794144874692896E-4</v>
      </c>
      <c r="G66" s="1">
        <v>0.28093866081918001</v>
      </c>
      <c r="H66" s="1">
        <v>0.58799999999999997</v>
      </c>
      <c r="I66" s="1">
        <v>0.28299999999999997</v>
      </c>
      <c r="J66" s="1">
        <v>1</v>
      </c>
    </row>
    <row r="67" spans="1:10" x14ac:dyDescent="0.2">
      <c r="A67" s="1" t="s">
        <v>3904</v>
      </c>
      <c r="B67" s="1" t="s">
        <v>3903</v>
      </c>
      <c r="C67" s="1" t="s">
        <v>3902</v>
      </c>
      <c r="D67" s="2" t="str">
        <f t="shared" si="1"/>
        <v>http://zfin.org/ZDB-GENE-030131-3060</v>
      </c>
      <c r="E67" s="1" t="s">
        <v>8639</v>
      </c>
      <c r="F67" s="1">
        <v>2.4670362136494699E-2</v>
      </c>
      <c r="G67" s="1">
        <v>0.28163637397754199</v>
      </c>
      <c r="H67" s="1">
        <v>0.40400000000000003</v>
      </c>
      <c r="I67" s="1">
        <v>0.183</v>
      </c>
      <c r="J67" s="1">
        <v>1</v>
      </c>
    </row>
    <row r="68" spans="1:10" x14ac:dyDescent="0.2">
      <c r="A68" s="1" t="s">
        <v>8638</v>
      </c>
      <c r="B68" s="1" t="s">
        <v>8637</v>
      </c>
      <c r="C68" s="1" t="s">
        <v>8636</v>
      </c>
      <c r="D68" s="2" t="str">
        <f t="shared" si="1"/>
        <v>http://zfin.org/ZDB-GENE-050208-437</v>
      </c>
      <c r="E68" s="1" t="s">
        <v>8635</v>
      </c>
      <c r="F68" s="1">
        <v>3.03452195408116E-2</v>
      </c>
      <c r="G68" s="1">
        <v>0.28179507317192398</v>
      </c>
      <c r="H68" s="1">
        <v>0.59599999999999997</v>
      </c>
      <c r="I68" s="1">
        <v>0.36699999999999999</v>
      </c>
      <c r="J68" s="1">
        <v>1</v>
      </c>
    </row>
    <row r="69" spans="1:10" x14ac:dyDescent="0.2">
      <c r="A69" s="1" t="s">
        <v>380</v>
      </c>
      <c r="B69" s="1" t="s">
        <v>379</v>
      </c>
      <c r="C69" s="1" t="s">
        <v>378</v>
      </c>
      <c r="D69" s="2" t="str">
        <f t="shared" si="1"/>
        <v>http://zfin.org/ZDB-GENE-030131-4309</v>
      </c>
      <c r="E69" s="1" t="s">
        <v>8634</v>
      </c>
      <c r="F69" s="1">
        <v>3.30249364512652E-3</v>
      </c>
      <c r="G69" s="1">
        <v>0.28193696598233597</v>
      </c>
      <c r="H69" s="1">
        <v>0.66700000000000004</v>
      </c>
      <c r="I69" s="1">
        <v>0.38300000000000001</v>
      </c>
      <c r="J69" s="1">
        <v>1</v>
      </c>
    </row>
    <row r="70" spans="1:10" x14ac:dyDescent="0.2">
      <c r="A70" s="1" t="s">
        <v>8633</v>
      </c>
      <c r="B70" s="1" t="s">
        <v>8632</v>
      </c>
      <c r="C70" s="1" t="s">
        <v>8631</v>
      </c>
      <c r="D70" s="2" t="str">
        <f t="shared" si="1"/>
        <v>http://zfin.org/ZDB-GENE-030131-8003</v>
      </c>
      <c r="E70" s="1" t="s">
        <v>8630</v>
      </c>
      <c r="F70" s="1">
        <v>1.1045504931980799E-2</v>
      </c>
      <c r="G70" s="1">
        <v>0.28197778425776598</v>
      </c>
      <c r="H70" s="1">
        <v>0.316</v>
      </c>
      <c r="I70" s="1">
        <v>0.1</v>
      </c>
      <c r="J70" s="1">
        <v>1</v>
      </c>
    </row>
    <row r="71" spans="1:10" x14ac:dyDescent="0.2">
      <c r="A71" s="1" t="s">
        <v>211</v>
      </c>
      <c r="B71" s="1" t="s">
        <v>210</v>
      </c>
      <c r="C71" s="1" t="s">
        <v>212</v>
      </c>
      <c r="D71" s="2" t="str">
        <f t="shared" si="1"/>
        <v>http://zfin.org/ZDB-GENE-031222-4</v>
      </c>
      <c r="E71" s="1" t="s">
        <v>8629</v>
      </c>
      <c r="F71" s="3">
        <v>3.9624564950862302E-5</v>
      </c>
      <c r="G71" s="1">
        <v>0.28307177027546299</v>
      </c>
      <c r="H71" s="1">
        <v>1</v>
      </c>
      <c r="I71" s="1">
        <v>0.95</v>
      </c>
      <c r="J71" s="1">
        <v>1</v>
      </c>
    </row>
    <row r="72" spans="1:10" x14ac:dyDescent="0.2">
      <c r="A72" s="1" t="s">
        <v>8628</v>
      </c>
      <c r="B72" s="1" t="s">
        <v>8627</v>
      </c>
      <c r="D72" s="2" t="str">
        <f t="shared" si="1"/>
        <v>http://zfin.org/</v>
      </c>
      <c r="E72" s="1" t="s">
        <v>4625</v>
      </c>
      <c r="F72" s="1">
        <v>9.8576637540342699E-4</v>
      </c>
      <c r="G72" s="1">
        <v>0.28420273484768999</v>
      </c>
      <c r="H72" s="1">
        <v>0.158</v>
      </c>
      <c r="I72" s="1">
        <v>0</v>
      </c>
      <c r="J72" s="1">
        <v>1</v>
      </c>
    </row>
    <row r="73" spans="1:10" x14ac:dyDescent="0.2">
      <c r="A73" s="1" t="s">
        <v>8626</v>
      </c>
      <c r="B73" s="1" t="s">
        <v>8625</v>
      </c>
      <c r="C73" s="1" t="s">
        <v>8624</v>
      </c>
      <c r="D73" s="2" t="str">
        <f t="shared" si="1"/>
        <v>http://zfin.org/ZDB-GENE-031118-211</v>
      </c>
      <c r="E73" s="1" t="s">
        <v>8623</v>
      </c>
      <c r="F73" s="1">
        <v>7.16155155659843E-3</v>
      </c>
      <c r="G73" s="1">
        <v>0.28438404006849</v>
      </c>
      <c r="H73" s="1">
        <v>0.34200000000000003</v>
      </c>
      <c r="I73" s="1">
        <v>0.11700000000000001</v>
      </c>
      <c r="J73" s="1">
        <v>1</v>
      </c>
    </row>
    <row r="74" spans="1:10" x14ac:dyDescent="0.2">
      <c r="A74" s="1" t="s">
        <v>320</v>
      </c>
      <c r="B74" s="1" t="s">
        <v>319</v>
      </c>
      <c r="C74" s="1" t="s">
        <v>318</v>
      </c>
      <c r="D74" s="2" t="str">
        <f t="shared" si="1"/>
        <v>http://zfin.org/ZDB-GENE-070424-267</v>
      </c>
      <c r="E74" s="1" t="s">
        <v>8622</v>
      </c>
      <c r="F74" s="1">
        <v>1.53240466165999E-2</v>
      </c>
      <c r="G74" s="1">
        <v>0.28627449732494797</v>
      </c>
      <c r="H74" s="1">
        <v>0.97399999999999998</v>
      </c>
      <c r="I74" s="1">
        <v>0.88300000000000001</v>
      </c>
      <c r="J74" s="1">
        <v>1</v>
      </c>
    </row>
    <row r="75" spans="1:10" x14ac:dyDescent="0.2">
      <c r="A75" s="1" t="s">
        <v>8621</v>
      </c>
      <c r="B75" s="1" t="s">
        <v>8620</v>
      </c>
      <c r="C75" s="1" t="s">
        <v>8619</v>
      </c>
      <c r="D75" s="2" t="str">
        <f t="shared" si="1"/>
        <v>http://zfin.org/ZDB-GENE-030326-2</v>
      </c>
      <c r="E75" s="1" t="s">
        <v>8618</v>
      </c>
      <c r="F75" s="1">
        <v>3.3423745844193701E-4</v>
      </c>
      <c r="G75" s="1">
        <v>0.28647161446761299</v>
      </c>
      <c r="H75" s="1">
        <v>1</v>
      </c>
      <c r="I75" s="1">
        <v>0.96699999999999997</v>
      </c>
      <c r="J75" s="1">
        <v>1</v>
      </c>
    </row>
    <row r="76" spans="1:10" x14ac:dyDescent="0.2">
      <c r="A76" s="1" t="s">
        <v>8617</v>
      </c>
      <c r="B76" s="1" t="s">
        <v>8616</v>
      </c>
      <c r="C76" s="1" t="s">
        <v>8615</v>
      </c>
      <c r="D76" s="2" t="str">
        <f t="shared" si="1"/>
        <v>http://zfin.org/ZDB-GENE-030131-3189</v>
      </c>
      <c r="E76" s="1" t="s">
        <v>8614</v>
      </c>
      <c r="F76" s="1">
        <v>8.0778701242779794E-3</v>
      </c>
      <c r="G76" s="1">
        <v>0.28715944382034603</v>
      </c>
      <c r="H76" s="1">
        <v>0.38600000000000001</v>
      </c>
      <c r="I76" s="1">
        <v>0.15</v>
      </c>
      <c r="J76" s="1">
        <v>1</v>
      </c>
    </row>
    <row r="77" spans="1:10" x14ac:dyDescent="0.2">
      <c r="A77" s="1" t="s">
        <v>8613</v>
      </c>
      <c r="B77" s="1" t="s">
        <v>8612</v>
      </c>
      <c r="C77" s="1" t="s">
        <v>8611</v>
      </c>
      <c r="D77" s="2" t="str">
        <f t="shared" si="1"/>
        <v>http://zfin.org/ZDB-GENE-140127-1</v>
      </c>
      <c r="E77" s="1" t="s">
        <v>8610</v>
      </c>
      <c r="F77" s="1">
        <v>2.5876344022000902E-3</v>
      </c>
      <c r="G77" s="1">
        <v>0.288459234118841</v>
      </c>
      <c r="H77" s="1">
        <v>0.26300000000000001</v>
      </c>
      <c r="I77" s="1">
        <v>0.05</v>
      </c>
      <c r="J77" s="1">
        <v>1</v>
      </c>
    </row>
    <row r="78" spans="1:10" x14ac:dyDescent="0.2">
      <c r="A78" s="1" t="s">
        <v>8609</v>
      </c>
      <c r="B78" s="1" t="s">
        <v>8608</v>
      </c>
      <c r="C78" s="1" t="s">
        <v>8607</v>
      </c>
      <c r="D78" s="2" t="str">
        <f t="shared" si="1"/>
        <v>http://zfin.org/ZDB-GENE-041010-57</v>
      </c>
      <c r="E78" s="1" t="s">
        <v>8606</v>
      </c>
      <c r="F78" s="1">
        <v>5.8369819435205204E-4</v>
      </c>
      <c r="G78" s="1">
        <v>0.28932202091462</v>
      </c>
      <c r="H78" s="1">
        <v>0.23699999999999999</v>
      </c>
      <c r="I78" s="1">
        <v>3.3000000000000002E-2</v>
      </c>
      <c r="J78" s="1">
        <v>1</v>
      </c>
    </row>
    <row r="79" spans="1:10" x14ac:dyDescent="0.2">
      <c r="A79" s="1" t="s">
        <v>101</v>
      </c>
      <c r="B79" s="1" t="s">
        <v>100</v>
      </c>
      <c r="C79" s="1" t="s">
        <v>102</v>
      </c>
      <c r="D79" s="2" t="str">
        <f t="shared" si="1"/>
        <v>http://zfin.org/ZDB-GENE-030131-12</v>
      </c>
      <c r="E79" s="1" t="s">
        <v>8605</v>
      </c>
      <c r="F79" s="1">
        <v>4.6913983195199897E-2</v>
      </c>
      <c r="G79" s="1">
        <v>0.28940779321244697</v>
      </c>
      <c r="H79" s="1">
        <v>0.67500000000000004</v>
      </c>
      <c r="I79" s="1">
        <v>0.46700000000000003</v>
      </c>
      <c r="J79" s="1">
        <v>1</v>
      </c>
    </row>
    <row r="80" spans="1:10" x14ac:dyDescent="0.2">
      <c r="A80" s="1" t="s">
        <v>8604</v>
      </c>
      <c r="B80" s="1" t="s">
        <v>8603</v>
      </c>
      <c r="C80" s="1" t="s">
        <v>8602</v>
      </c>
      <c r="D80" s="2" t="str">
        <f t="shared" si="1"/>
        <v>http://zfin.org/ZDB-GENE-090312-67</v>
      </c>
      <c r="E80" s="1" t="s">
        <v>8601</v>
      </c>
      <c r="F80" s="3">
        <v>9.3200585144767494E-5</v>
      </c>
      <c r="G80" s="1">
        <v>0.29056594928426699</v>
      </c>
      <c r="H80" s="1">
        <v>0.20200000000000001</v>
      </c>
      <c r="I80" s="1">
        <v>0</v>
      </c>
      <c r="J80" s="1">
        <v>1</v>
      </c>
    </row>
    <row r="81" spans="1:10" x14ac:dyDescent="0.2">
      <c r="A81" s="1" t="s">
        <v>600</v>
      </c>
      <c r="B81" s="1" t="s">
        <v>599</v>
      </c>
      <c r="C81" s="1" t="s">
        <v>598</v>
      </c>
      <c r="D81" s="2" t="str">
        <f t="shared" si="1"/>
        <v>http://zfin.org/ZDB-GENE-070718-1</v>
      </c>
      <c r="E81" s="1" t="s">
        <v>8600</v>
      </c>
      <c r="F81" s="3">
        <v>3.1124158050143099E-9</v>
      </c>
      <c r="G81" s="1">
        <v>0.29140131250974799</v>
      </c>
      <c r="H81" s="1">
        <v>0.96499999999999997</v>
      </c>
      <c r="I81" s="1">
        <v>0.58299999999999996</v>
      </c>
      <c r="J81" s="1">
        <v>1</v>
      </c>
    </row>
    <row r="82" spans="1:10" x14ac:dyDescent="0.2">
      <c r="A82" s="1" t="s">
        <v>8599</v>
      </c>
      <c r="B82" s="1" t="s">
        <v>8598</v>
      </c>
      <c r="C82" s="1" t="s">
        <v>8597</v>
      </c>
      <c r="D82" s="2" t="str">
        <f t="shared" si="1"/>
        <v>http://zfin.org/ZDB-GENE-090601-1</v>
      </c>
      <c r="E82" s="1" t="s">
        <v>8596</v>
      </c>
      <c r="F82" s="1">
        <v>3.8970236580708402E-4</v>
      </c>
      <c r="G82" s="1">
        <v>0.291449677721144</v>
      </c>
      <c r="H82" s="1">
        <v>0.17499999999999999</v>
      </c>
      <c r="I82" s="1">
        <v>0</v>
      </c>
      <c r="J82" s="1">
        <v>1</v>
      </c>
    </row>
    <row r="83" spans="1:10" x14ac:dyDescent="0.2">
      <c r="A83" s="1" t="s">
        <v>8595</v>
      </c>
      <c r="B83" s="1" t="s">
        <v>8594</v>
      </c>
      <c r="C83" s="1" t="s">
        <v>8593</v>
      </c>
      <c r="D83" s="2" t="str">
        <f t="shared" si="1"/>
        <v>http://zfin.org/ZDB-GENE-131127-468</v>
      </c>
      <c r="E83" s="1" t="s">
        <v>8592</v>
      </c>
      <c r="F83" s="3">
        <v>3.4998889301737298E-5</v>
      </c>
      <c r="G83" s="1">
        <v>0.292578877619939</v>
      </c>
      <c r="H83" s="1">
        <v>0.219</v>
      </c>
      <c r="I83" s="1">
        <v>0</v>
      </c>
      <c r="J83" s="1">
        <v>1</v>
      </c>
    </row>
    <row r="84" spans="1:10" x14ac:dyDescent="0.2">
      <c r="A84" s="1" t="s">
        <v>499</v>
      </c>
      <c r="B84" s="1" t="s">
        <v>498</v>
      </c>
      <c r="C84" s="1" t="s">
        <v>497</v>
      </c>
      <c r="D84" s="2" t="str">
        <f t="shared" si="1"/>
        <v>http://zfin.org/ZDB-GENE-041014-83</v>
      </c>
      <c r="E84" s="1" t="s">
        <v>8591</v>
      </c>
      <c r="F84" s="3">
        <v>3.7777473126227399E-5</v>
      </c>
      <c r="G84" s="1">
        <v>0.294016547058633</v>
      </c>
      <c r="H84" s="1">
        <v>0.77200000000000002</v>
      </c>
      <c r="I84" s="1">
        <v>0.41699999999999998</v>
      </c>
      <c r="J84" s="1">
        <v>1</v>
      </c>
    </row>
    <row r="85" spans="1:10" x14ac:dyDescent="0.2">
      <c r="A85" s="1" t="s">
        <v>1431</v>
      </c>
      <c r="B85" s="1" t="s">
        <v>1430</v>
      </c>
      <c r="C85" s="1" t="s">
        <v>1429</v>
      </c>
      <c r="D85" s="2" t="str">
        <f t="shared" si="1"/>
        <v>http://zfin.org/ZDB-GENE-030829-65</v>
      </c>
      <c r="E85" s="1" t="s">
        <v>8590</v>
      </c>
      <c r="F85" s="1">
        <v>1.4252649655603101E-2</v>
      </c>
      <c r="G85" s="1">
        <v>0.29415774085297602</v>
      </c>
      <c r="H85" s="1">
        <v>0.55300000000000005</v>
      </c>
      <c r="I85" s="1">
        <v>0.3</v>
      </c>
      <c r="J85" s="1">
        <v>1</v>
      </c>
    </row>
    <row r="86" spans="1:10" x14ac:dyDescent="0.2">
      <c r="A86" s="1" t="s">
        <v>8589</v>
      </c>
      <c r="B86" s="1" t="s">
        <v>8588</v>
      </c>
      <c r="C86" s="1" t="s">
        <v>8587</v>
      </c>
      <c r="D86" s="2" t="str">
        <f t="shared" si="1"/>
        <v>http://zfin.org/ZDB-GENE-040718-160</v>
      </c>
      <c r="E86" s="1" t="s">
        <v>8586</v>
      </c>
      <c r="F86" s="3">
        <v>4.0187504976550402E-5</v>
      </c>
      <c r="G86" s="1">
        <v>0.294505038358578</v>
      </c>
      <c r="H86" s="1">
        <v>0.21099999999999999</v>
      </c>
      <c r="I86" s="1">
        <v>0.05</v>
      </c>
      <c r="J86" s="1">
        <v>1</v>
      </c>
    </row>
    <row r="87" spans="1:10" x14ac:dyDescent="0.2">
      <c r="A87" s="1" t="s">
        <v>8585</v>
      </c>
      <c r="B87" s="1" t="s">
        <v>8584</v>
      </c>
      <c r="C87" s="1" t="s">
        <v>8583</v>
      </c>
      <c r="D87" s="2" t="str">
        <f t="shared" si="1"/>
        <v>http://zfin.org/ZDB-GENE-040912-131</v>
      </c>
      <c r="E87" s="1" t="s">
        <v>8582</v>
      </c>
      <c r="F87" s="3">
        <v>1.12780240466863E-5</v>
      </c>
      <c r="G87" s="1">
        <v>0.29455417894936298</v>
      </c>
      <c r="H87" s="1">
        <v>0.89500000000000002</v>
      </c>
      <c r="I87" s="1">
        <v>0.58299999999999996</v>
      </c>
      <c r="J87" s="1">
        <v>1</v>
      </c>
    </row>
    <row r="88" spans="1:10" x14ac:dyDescent="0.2">
      <c r="A88" s="1" t="s">
        <v>8581</v>
      </c>
      <c r="B88" s="1" t="s">
        <v>8580</v>
      </c>
      <c r="C88" s="1" t="s">
        <v>8579</v>
      </c>
      <c r="D88" s="2" t="str">
        <f t="shared" si="1"/>
        <v>http://zfin.org/ZDB-GENE-040801-19</v>
      </c>
      <c r="E88" s="1" t="s">
        <v>8578</v>
      </c>
      <c r="F88" s="1">
        <v>2.9884695414805198E-4</v>
      </c>
      <c r="G88" s="1">
        <v>0.29468293538710699</v>
      </c>
      <c r="H88" s="1">
        <v>0.22800000000000001</v>
      </c>
      <c r="I88" s="1">
        <v>3.3000000000000002E-2</v>
      </c>
      <c r="J88" s="1">
        <v>1</v>
      </c>
    </row>
    <row r="89" spans="1:10" x14ac:dyDescent="0.2">
      <c r="A89" s="1" t="s">
        <v>8577</v>
      </c>
      <c r="B89" s="1" t="s">
        <v>8576</v>
      </c>
      <c r="C89" s="1" t="s">
        <v>8575</v>
      </c>
      <c r="D89" s="2" t="str">
        <f t="shared" si="1"/>
        <v>http://zfin.org/ZDB-GENE-040426-1518</v>
      </c>
      <c r="E89" s="1" t="s">
        <v>8574</v>
      </c>
      <c r="F89" s="1">
        <v>5.0460983717072396E-4</v>
      </c>
      <c r="G89" s="1">
        <v>0.29508813224578301</v>
      </c>
      <c r="H89" s="1">
        <v>0.20200000000000001</v>
      </c>
      <c r="I89" s="1">
        <v>3.3000000000000002E-2</v>
      </c>
      <c r="J89" s="1">
        <v>1</v>
      </c>
    </row>
    <row r="90" spans="1:10" x14ac:dyDescent="0.2">
      <c r="A90" s="1" t="s">
        <v>8573</v>
      </c>
      <c r="B90" s="1" t="s">
        <v>8572</v>
      </c>
      <c r="C90" s="1" t="s">
        <v>8571</v>
      </c>
      <c r="D90" s="2" t="str">
        <f t="shared" si="1"/>
        <v>http://zfin.org/ZDB-GENE-040426-1300</v>
      </c>
      <c r="E90" s="1" t="s">
        <v>8570</v>
      </c>
      <c r="F90" s="1">
        <v>1.13578445628831E-2</v>
      </c>
      <c r="G90" s="1">
        <v>0.29520575212607802</v>
      </c>
      <c r="H90" s="1">
        <v>0.41199999999999998</v>
      </c>
      <c r="I90" s="1">
        <v>0.183</v>
      </c>
      <c r="J90" s="1">
        <v>1</v>
      </c>
    </row>
    <row r="91" spans="1:10" x14ac:dyDescent="0.2">
      <c r="A91" s="1" t="s">
        <v>8569</v>
      </c>
      <c r="B91" s="1" t="s">
        <v>8568</v>
      </c>
      <c r="C91" s="1" t="s">
        <v>8567</v>
      </c>
      <c r="D91" s="2" t="str">
        <f t="shared" si="1"/>
        <v>http://zfin.org/ZDB-GENE-040426-883</v>
      </c>
      <c r="E91" s="1" t="s">
        <v>8566</v>
      </c>
      <c r="F91" s="1">
        <v>6.0407084617228298E-3</v>
      </c>
      <c r="G91" s="1">
        <v>0.29633041730828902</v>
      </c>
      <c r="H91" s="1">
        <v>0.39500000000000002</v>
      </c>
      <c r="I91" s="1">
        <v>0.15</v>
      </c>
      <c r="J91" s="1">
        <v>1</v>
      </c>
    </row>
    <row r="92" spans="1:10" x14ac:dyDescent="0.2">
      <c r="A92" s="1" t="s">
        <v>8565</v>
      </c>
      <c r="B92" s="1" t="s">
        <v>8564</v>
      </c>
      <c r="C92" s="1" t="s">
        <v>8563</v>
      </c>
      <c r="D92" s="2" t="str">
        <f t="shared" si="1"/>
        <v>http://zfin.org/ZDB-GENE-030219-75</v>
      </c>
      <c r="E92" s="1" t="s">
        <v>8562</v>
      </c>
      <c r="F92" s="1">
        <v>1.17028131751988E-4</v>
      </c>
      <c r="G92" s="1">
        <v>0.29660757144521399</v>
      </c>
      <c r="H92" s="1">
        <v>0.33300000000000002</v>
      </c>
      <c r="I92" s="1">
        <v>8.3000000000000004E-2</v>
      </c>
      <c r="J92" s="1">
        <v>1</v>
      </c>
    </row>
    <row r="93" spans="1:10" x14ac:dyDescent="0.2">
      <c r="A93" s="1" t="s">
        <v>1711</v>
      </c>
      <c r="B93" s="1" t="s">
        <v>1710</v>
      </c>
      <c r="C93" s="1" t="s">
        <v>1709</v>
      </c>
      <c r="D93" s="2" t="str">
        <f t="shared" si="1"/>
        <v>http://zfin.org/ZDB-GENE-030131-657</v>
      </c>
      <c r="E93" s="1" t="s">
        <v>8561</v>
      </c>
      <c r="F93" s="1">
        <v>1.94027535534317E-3</v>
      </c>
      <c r="G93" s="1">
        <v>0.29727696174426899</v>
      </c>
      <c r="H93" s="1">
        <v>0.26300000000000001</v>
      </c>
      <c r="I93" s="1">
        <v>0.05</v>
      </c>
      <c r="J93" s="1">
        <v>1</v>
      </c>
    </row>
    <row r="94" spans="1:10" x14ac:dyDescent="0.2">
      <c r="A94" s="1" t="s">
        <v>386</v>
      </c>
      <c r="B94" s="1" t="s">
        <v>385</v>
      </c>
      <c r="C94" s="1" t="s">
        <v>384</v>
      </c>
      <c r="D94" s="2" t="str">
        <f t="shared" si="1"/>
        <v>http://zfin.org/ZDB-GENE-050522-121</v>
      </c>
      <c r="E94" s="1" t="s">
        <v>8560</v>
      </c>
      <c r="F94" s="1">
        <v>6.9547711901080296E-4</v>
      </c>
      <c r="G94" s="1">
        <v>0.29922678199299502</v>
      </c>
      <c r="H94" s="1">
        <v>0.63200000000000001</v>
      </c>
      <c r="I94" s="1">
        <v>0.317</v>
      </c>
      <c r="J94" s="1">
        <v>1</v>
      </c>
    </row>
    <row r="95" spans="1:10" x14ac:dyDescent="0.2">
      <c r="A95" s="1" t="s">
        <v>8559</v>
      </c>
      <c r="B95" s="1" t="s">
        <v>8558</v>
      </c>
      <c r="C95" s="1" t="s">
        <v>8557</v>
      </c>
      <c r="D95" s="2" t="str">
        <f t="shared" si="1"/>
        <v>http://zfin.org/ZDB-GENE-070410-72</v>
      </c>
      <c r="E95" s="1" t="s">
        <v>8556</v>
      </c>
      <c r="F95" s="1">
        <v>5.9775571167697196E-4</v>
      </c>
      <c r="G95" s="1">
        <v>0.29940674396988698</v>
      </c>
      <c r="H95" s="1">
        <v>0.36799999999999999</v>
      </c>
      <c r="I95" s="1">
        <v>0.11700000000000001</v>
      </c>
      <c r="J95" s="1">
        <v>1</v>
      </c>
    </row>
    <row r="96" spans="1:10" x14ac:dyDescent="0.2">
      <c r="A96" s="1" t="s">
        <v>47</v>
      </c>
      <c r="B96" s="1" t="s">
        <v>46</v>
      </c>
      <c r="C96" s="1" t="s">
        <v>48</v>
      </c>
      <c r="D96" s="2" t="str">
        <f t="shared" si="1"/>
        <v>http://zfin.org/ZDB-GENE-060503-431</v>
      </c>
      <c r="E96" s="1" t="s">
        <v>8555</v>
      </c>
      <c r="F96" s="1">
        <v>4.2880124427838902E-2</v>
      </c>
      <c r="G96" s="1">
        <v>0.29986624520379601</v>
      </c>
      <c r="H96" s="1">
        <v>0.623</v>
      </c>
      <c r="I96" s="1">
        <v>0.45</v>
      </c>
      <c r="J96" s="1">
        <v>1</v>
      </c>
    </row>
    <row r="97" spans="1:10" x14ac:dyDescent="0.2">
      <c r="A97" s="1" t="s">
        <v>8554</v>
      </c>
      <c r="B97" s="1" t="s">
        <v>8553</v>
      </c>
      <c r="C97" s="1" t="s">
        <v>8552</v>
      </c>
      <c r="D97" s="2" t="str">
        <f t="shared" si="1"/>
        <v>http://zfin.org/ZDB-GENE-030131-3250</v>
      </c>
      <c r="E97" s="1" t="s">
        <v>8551</v>
      </c>
      <c r="F97" s="1">
        <v>2.43139555624553E-4</v>
      </c>
      <c r="G97" s="1">
        <v>0.30073318049643399</v>
      </c>
      <c r="H97" s="1">
        <v>0.184</v>
      </c>
      <c r="I97" s="1">
        <v>0</v>
      </c>
      <c r="J97" s="1">
        <v>1</v>
      </c>
    </row>
    <row r="98" spans="1:10" x14ac:dyDescent="0.2">
      <c r="A98" s="1" t="s">
        <v>8550</v>
      </c>
      <c r="B98" s="1" t="s">
        <v>8549</v>
      </c>
      <c r="C98" s="1" t="s">
        <v>8548</v>
      </c>
      <c r="D98" s="2" t="str">
        <f t="shared" si="1"/>
        <v>http://zfin.org/ZDB-GENE-040426-2079</v>
      </c>
      <c r="E98" s="1" t="s">
        <v>8547</v>
      </c>
      <c r="F98" s="1">
        <v>5.8200561856737E-3</v>
      </c>
      <c r="G98" s="1">
        <v>0.301432394353497</v>
      </c>
      <c r="H98" s="1">
        <v>0.39500000000000002</v>
      </c>
      <c r="I98" s="1">
        <v>0.15</v>
      </c>
      <c r="J98" s="1">
        <v>1</v>
      </c>
    </row>
    <row r="99" spans="1:10" x14ac:dyDescent="0.2">
      <c r="A99" s="1" t="s">
        <v>8546</v>
      </c>
      <c r="B99" s="1" t="s">
        <v>8545</v>
      </c>
      <c r="C99" s="1" t="s">
        <v>8544</v>
      </c>
      <c r="D99" s="2" t="str">
        <f t="shared" si="1"/>
        <v>http://zfin.org/ZDB-GENE-040426-2361</v>
      </c>
      <c r="E99" s="1" t="s">
        <v>8543</v>
      </c>
      <c r="F99" s="3">
        <v>3.2276683052855997E-5</v>
      </c>
      <c r="G99" s="1">
        <v>0.30338483608691502</v>
      </c>
      <c r="H99" s="1">
        <v>0.52600000000000002</v>
      </c>
      <c r="I99" s="1">
        <v>0.2</v>
      </c>
      <c r="J99" s="1">
        <v>1</v>
      </c>
    </row>
    <row r="100" spans="1:10" x14ac:dyDescent="0.2">
      <c r="A100" s="1" t="s">
        <v>2929</v>
      </c>
      <c r="B100" s="1" t="s">
        <v>2928</v>
      </c>
      <c r="C100" s="1" t="s">
        <v>2927</v>
      </c>
      <c r="D100" s="2" t="str">
        <f t="shared" si="1"/>
        <v>http://zfin.org/ZDB-GENE-030131-9784</v>
      </c>
      <c r="E100" s="1" t="s">
        <v>8542</v>
      </c>
      <c r="F100" s="1">
        <v>3.0103792595866101E-3</v>
      </c>
      <c r="G100" s="1">
        <v>0.30374669614039201</v>
      </c>
      <c r="H100" s="1">
        <v>0.89500000000000002</v>
      </c>
      <c r="I100" s="1">
        <v>0.66700000000000004</v>
      </c>
      <c r="J100" s="1">
        <v>1</v>
      </c>
    </row>
    <row r="101" spans="1:10" x14ac:dyDescent="0.2">
      <c r="A101" s="1" t="s">
        <v>8541</v>
      </c>
      <c r="B101" s="1" t="s">
        <v>8540</v>
      </c>
      <c r="C101" s="1" t="s">
        <v>8539</v>
      </c>
      <c r="D101" s="2" t="str">
        <f t="shared" si="1"/>
        <v>http://zfin.org/ZDB-GENE-080107-1</v>
      </c>
      <c r="E101" s="1" t="s">
        <v>8538</v>
      </c>
      <c r="F101" s="1">
        <v>9.3758724975896296E-3</v>
      </c>
      <c r="G101" s="1">
        <v>0.305044921514255</v>
      </c>
      <c r="H101" s="1">
        <v>0.28899999999999998</v>
      </c>
      <c r="I101" s="1">
        <v>0.1</v>
      </c>
      <c r="J101" s="1">
        <v>1</v>
      </c>
    </row>
    <row r="102" spans="1:10" x14ac:dyDescent="0.2">
      <c r="A102" s="1" t="s">
        <v>8537</v>
      </c>
      <c r="B102" s="1" t="s">
        <v>8536</v>
      </c>
      <c r="C102" s="1" t="s">
        <v>8535</v>
      </c>
      <c r="D102" s="2" t="str">
        <f t="shared" si="1"/>
        <v>http://zfin.org/ZDB-GENE-050419-11</v>
      </c>
      <c r="E102" s="1" t="s">
        <v>8534</v>
      </c>
      <c r="F102" s="1">
        <v>1.5092130785756601E-4</v>
      </c>
      <c r="G102" s="1">
        <v>0.305248390900552</v>
      </c>
      <c r="H102" s="1">
        <v>0.193</v>
      </c>
      <c r="I102" s="1">
        <v>0</v>
      </c>
      <c r="J102" s="1">
        <v>1</v>
      </c>
    </row>
    <row r="103" spans="1:10" x14ac:dyDescent="0.2">
      <c r="A103" s="1" t="s">
        <v>515</v>
      </c>
      <c r="B103" s="1" t="s">
        <v>514</v>
      </c>
      <c r="C103" s="1" t="s">
        <v>513</v>
      </c>
      <c r="D103" s="2" t="str">
        <f t="shared" si="1"/>
        <v>http://zfin.org/ZDB-GENE-050522-534</v>
      </c>
      <c r="E103" s="1" t="s">
        <v>8533</v>
      </c>
      <c r="F103" s="1">
        <v>1.24264899151035E-3</v>
      </c>
      <c r="G103" s="1">
        <v>0.30548203090945097</v>
      </c>
      <c r="H103" s="1">
        <v>0.746</v>
      </c>
      <c r="I103" s="1">
        <v>0.45</v>
      </c>
      <c r="J103" s="1">
        <v>1</v>
      </c>
    </row>
    <row r="104" spans="1:10" x14ac:dyDescent="0.2">
      <c r="A104" s="1" t="s">
        <v>8532</v>
      </c>
      <c r="B104" s="1" t="s">
        <v>8531</v>
      </c>
      <c r="C104" s="1" t="s">
        <v>8530</v>
      </c>
      <c r="D104" s="2" t="str">
        <f t="shared" si="1"/>
        <v>http://zfin.org/ZDB-GENE-090313-209</v>
      </c>
      <c r="E104" s="1" t="s">
        <v>8529</v>
      </c>
      <c r="F104" s="1">
        <v>4.5021892403585901E-4</v>
      </c>
      <c r="G104" s="1">
        <v>0.30634288626846401</v>
      </c>
      <c r="H104" s="1">
        <v>0.40400000000000003</v>
      </c>
      <c r="I104" s="1">
        <v>0.13300000000000001</v>
      </c>
      <c r="J104" s="1">
        <v>1</v>
      </c>
    </row>
    <row r="105" spans="1:10" x14ac:dyDescent="0.2">
      <c r="A105" s="1" t="s">
        <v>8528</v>
      </c>
      <c r="B105" s="1" t="s">
        <v>8527</v>
      </c>
      <c r="C105" s="1" t="s">
        <v>8526</v>
      </c>
      <c r="D105" s="2" t="str">
        <f t="shared" si="1"/>
        <v>http://zfin.org/ZDB-GENE-050907-1</v>
      </c>
      <c r="E105" s="1" t="s">
        <v>8525</v>
      </c>
      <c r="F105" s="1">
        <v>2.6767888526737501E-2</v>
      </c>
      <c r="G105" s="1">
        <v>0.30676646333875202</v>
      </c>
      <c r="H105" s="1">
        <v>0.21099999999999999</v>
      </c>
      <c r="I105" s="1">
        <v>0.05</v>
      </c>
      <c r="J105" s="1">
        <v>1</v>
      </c>
    </row>
    <row r="106" spans="1:10" x14ac:dyDescent="0.2">
      <c r="A106" s="1" t="s">
        <v>8524</v>
      </c>
      <c r="B106" s="1" t="s">
        <v>8523</v>
      </c>
      <c r="C106" s="1" t="s">
        <v>8522</v>
      </c>
      <c r="D106" s="2" t="str">
        <f t="shared" si="1"/>
        <v>http://zfin.org/ZDB-GENE-060825-230</v>
      </c>
      <c r="E106" s="1" t="s">
        <v>8521</v>
      </c>
      <c r="F106" s="1">
        <v>9.2621903998838201E-4</v>
      </c>
      <c r="G106" s="1">
        <v>0.30769726623832</v>
      </c>
      <c r="H106" s="1">
        <v>0.32500000000000001</v>
      </c>
      <c r="I106" s="1">
        <v>8.3000000000000004E-2</v>
      </c>
      <c r="J106" s="1">
        <v>1</v>
      </c>
    </row>
    <row r="107" spans="1:10" x14ac:dyDescent="0.2">
      <c r="A107" s="1" t="s">
        <v>8520</v>
      </c>
      <c r="B107" s="1" t="s">
        <v>8519</v>
      </c>
      <c r="C107" s="1" t="s">
        <v>8518</v>
      </c>
      <c r="D107" s="2" t="str">
        <f t="shared" si="1"/>
        <v>http://zfin.org/ZDB-GENE-040426-914</v>
      </c>
      <c r="E107" s="1" t="s">
        <v>8517</v>
      </c>
      <c r="F107" s="1">
        <v>8.2939969883196202E-3</v>
      </c>
      <c r="G107" s="1">
        <v>0.30783913500454002</v>
      </c>
      <c r="H107" s="1">
        <v>0.38600000000000001</v>
      </c>
      <c r="I107" s="1">
        <v>0.15</v>
      </c>
      <c r="J107" s="1">
        <v>1</v>
      </c>
    </row>
    <row r="108" spans="1:10" x14ac:dyDescent="0.2">
      <c r="A108" s="1" t="s">
        <v>3606</v>
      </c>
      <c r="B108" s="1" t="s">
        <v>3605</v>
      </c>
      <c r="C108" s="1" t="s">
        <v>3604</v>
      </c>
      <c r="D108" s="2" t="str">
        <f t="shared" si="1"/>
        <v>http://zfin.org/ZDB-GENE-050417-400</v>
      </c>
      <c r="E108" s="1" t="s">
        <v>8516</v>
      </c>
      <c r="F108" s="1">
        <v>2.6689435869068998E-3</v>
      </c>
      <c r="G108" s="1">
        <v>0.307927553876222</v>
      </c>
      <c r="H108" s="1">
        <v>0.34200000000000003</v>
      </c>
      <c r="I108" s="1">
        <v>0.1</v>
      </c>
      <c r="J108" s="1">
        <v>1</v>
      </c>
    </row>
    <row r="109" spans="1:10" x14ac:dyDescent="0.2">
      <c r="A109" s="1" t="s">
        <v>8515</v>
      </c>
      <c r="B109" s="1" t="s">
        <v>8514</v>
      </c>
      <c r="C109" s="1" t="s">
        <v>8513</v>
      </c>
      <c r="D109" s="2" t="str">
        <f t="shared" si="1"/>
        <v>http://zfin.org/ZDB-GENE-001219-1</v>
      </c>
      <c r="E109" s="1" t="s">
        <v>8512</v>
      </c>
      <c r="F109" s="3">
        <v>2.7018317991294102E-5</v>
      </c>
      <c r="G109" s="1">
        <v>0.30839604129423598</v>
      </c>
      <c r="H109" s="1">
        <v>0.91200000000000003</v>
      </c>
      <c r="I109" s="1">
        <v>0.6</v>
      </c>
      <c r="J109" s="1">
        <v>1</v>
      </c>
    </row>
    <row r="110" spans="1:10" x14ac:dyDescent="0.2">
      <c r="A110" s="1" t="s">
        <v>8511</v>
      </c>
      <c r="B110" s="1" t="s">
        <v>8510</v>
      </c>
      <c r="C110" s="1" t="s">
        <v>8509</v>
      </c>
      <c r="D110" s="2" t="str">
        <f t="shared" si="1"/>
        <v>http://zfin.org/ZDB-GENE-110228-3</v>
      </c>
      <c r="E110" s="1" t="s">
        <v>8508</v>
      </c>
      <c r="F110" s="1">
        <v>1.55562624676703E-3</v>
      </c>
      <c r="G110" s="1">
        <v>0.30900592844414199</v>
      </c>
      <c r="H110" s="1">
        <v>0.14899999999999999</v>
      </c>
      <c r="I110" s="1">
        <v>0</v>
      </c>
      <c r="J110" s="1">
        <v>1</v>
      </c>
    </row>
    <row r="111" spans="1:10" x14ac:dyDescent="0.2">
      <c r="A111" s="1" t="s">
        <v>8507</v>
      </c>
      <c r="B111" s="1" t="s">
        <v>8506</v>
      </c>
      <c r="C111" s="1" t="s">
        <v>8505</v>
      </c>
      <c r="D111" s="2" t="str">
        <f t="shared" si="1"/>
        <v>http://zfin.org/ZDB-GENE-000405-3</v>
      </c>
      <c r="E111" s="1" t="s">
        <v>8504</v>
      </c>
      <c r="F111" s="3">
        <v>2.0358835636071001E-5</v>
      </c>
      <c r="G111" s="1">
        <v>0.30993687064557002</v>
      </c>
      <c r="H111" s="1">
        <v>0.28899999999999998</v>
      </c>
      <c r="I111" s="1">
        <v>3.3000000000000002E-2</v>
      </c>
      <c r="J111" s="1">
        <v>1</v>
      </c>
    </row>
    <row r="112" spans="1:10" x14ac:dyDescent="0.2">
      <c r="A112" s="1" t="s">
        <v>400</v>
      </c>
      <c r="B112" s="1" t="s">
        <v>399</v>
      </c>
      <c r="C112" s="1" t="s">
        <v>398</v>
      </c>
      <c r="D112" s="2" t="str">
        <f t="shared" si="1"/>
        <v>http://zfin.org/ZDB-GENE-030616-616</v>
      </c>
      <c r="E112" s="1" t="s">
        <v>8503</v>
      </c>
      <c r="F112" s="1">
        <v>4.3949641633367299E-3</v>
      </c>
      <c r="G112" s="1">
        <v>0.309969667469568</v>
      </c>
      <c r="H112" s="1">
        <v>0.86799999999999999</v>
      </c>
      <c r="I112" s="1">
        <v>0.63300000000000001</v>
      </c>
      <c r="J112" s="1">
        <v>1</v>
      </c>
    </row>
    <row r="113" spans="1:10" x14ac:dyDescent="0.2">
      <c r="A113" s="1" t="s">
        <v>8502</v>
      </c>
      <c r="B113" s="1" t="s">
        <v>8501</v>
      </c>
      <c r="C113" s="1" t="s">
        <v>8500</v>
      </c>
      <c r="D113" s="2" t="str">
        <f t="shared" si="1"/>
        <v>http://zfin.org/ZDB-GENE-030424-2</v>
      </c>
      <c r="E113" s="1" t="s">
        <v>8499</v>
      </c>
      <c r="F113" s="1">
        <v>1.7208311717472599E-2</v>
      </c>
      <c r="G113" s="1">
        <v>0.31140467948835399</v>
      </c>
      <c r="H113" s="1">
        <v>0.43</v>
      </c>
      <c r="I113" s="1">
        <v>0.2</v>
      </c>
      <c r="J113" s="1">
        <v>1</v>
      </c>
    </row>
    <row r="114" spans="1:10" x14ac:dyDescent="0.2">
      <c r="A114" s="1" t="s">
        <v>8498</v>
      </c>
      <c r="B114" s="1" t="s">
        <v>8497</v>
      </c>
      <c r="C114" s="1" t="s">
        <v>8496</v>
      </c>
      <c r="D114" s="2" t="str">
        <f t="shared" si="1"/>
        <v>http://zfin.org/ZDB-GENE-070705-385</v>
      </c>
      <c r="E114" s="1" t="s">
        <v>8495</v>
      </c>
      <c r="F114" s="3">
        <v>5.7260602101832202E-5</v>
      </c>
      <c r="G114" s="1">
        <v>0.31201388389801299</v>
      </c>
      <c r="H114" s="1">
        <v>0.21099999999999999</v>
      </c>
      <c r="I114" s="1">
        <v>0</v>
      </c>
      <c r="J114" s="1">
        <v>1</v>
      </c>
    </row>
    <row r="115" spans="1:10" x14ac:dyDescent="0.2">
      <c r="A115" s="1" t="s">
        <v>8494</v>
      </c>
      <c r="B115" s="1" t="s">
        <v>8493</v>
      </c>
      <c r="C115" s="1" t="s">
        <v>8492</v>
      </c>
      <c r="D115" s="2" t="str">
        <f t="shared" si="1"/>
        <v>http://zfin.org/ZDB-GENE-041114-88</v>
      </c>
      <c r="E115" s="1" t="s">
        <v>8491</v>
      </c>
      <c r="F115" s="1">
        <v>3.3735099389097099E-2</v>
      </c>
      <c r="G115" s="1">
        <v>0.31236890603525402</v>
      </c>
      <c r="H115" s="1">
        <v>0.38600000000000001</v>
      </c>
      <c r="I115" s="1">
        <v>0.183</v>
      </c>
      <c r="J115" s="1">
        <v>1</v>
      </c>
    </row>
    <row r="116" spans="1:10" x14ac:dyDescent="0.2">
      <c r="A116" s="1" t="s">
        <v>8490</v>
      </c>
      <c r="B116" s="1" t="s">
        <v>8489</v>
      </c>
      <c r="C116" s="1" t="s">
        <v>8488</v>
      </c>
      <c r="D116" s="2" t="str">
        <f t="shared" si="1"/>
        <v>http://zfin.org/ZDB-GENE-040718-297</v>
      </c>
      <c r="E116" s="1" t="s">
        <v>8487</v>
      </c>
      <c r="F116" s="1">
        <v>2.1054216524876699E-3</v>
      </c>
      <c r="G116" s="1">
        <v>0.31309423854784202</v>
      </c>
      <c r="H116" s="1">
        <v>0.38600000000000001</v>
      </c>
      <c r="I116" s="1">
        <v>0.16700000000000001</v>
      </c>
      <c r="J116" s="1">
        <v>1</v>
      </c>
    </row>
    <row r="117" spans="1:10" x14ac:dyDescent="0.2">
      <c r="A117" s="1" t="s">
        <v>8486</v>
      </c>
      <c r="B117" s="1" t="s">
        <v>8485</v>
      </c>
      <c r="C117" s="1" t="s">
        <v>8484</v>
      </c>
      <c r="D117" s="2" t="str">
        <f t="shared" si="1"/>
        <v>http://zfin.org/ZDB-GENE-030131-9831</v>
      </c>
      <c r="E117" s="1" t="s">
        <v>8483</v>
      </c>
      <c r="F117" s="1">
        <v>1.02055731378851E-2</v>
      </c>
      <c r="G117" s="1">
        <v>0.31476556159283797</v>
      </c>
      <c r="H117" s="1">
        <v>0.65800000000000003</v>
      </c>
      <c r="I117" s="1">
        <v>0.4</v>
      </c>
      <c r="J117" s="1">
        <v>1</v>
      </c>
    </row>
    <row r="118" spans="1:10" x14ac:dyDescent="0.2">
      <c r="A118" s="1" t="s">
        <v>439</v>
      </c>
      <c r="B118" s="1" t="s">
        <v>438</v>
      </c>
      <c r="C118" s="1" t="s">
        <v>437</v>
      </c>
      <c r="D118" s="2" t="str">
        <f t="shared" si="1"/>
        <v>http://zfin.org/ZDB-GENE-070705-453</v>
      </c>
      <c r="E118" s="1" t="s">
        <v>8482</v>
      </c>
      <c r="F118" s="3">
        <v>4.4810834921270202E-5</v>
      </c>
      <c r="G118" s="1">
        <v>0.31749617254599199</v>
      </c>
      <c r="H118" s="1">
        <v>0.72799999999999998</v>
      </c>
      <c r="I118" s="1">
        <v>0.36699999999999999</v>
      </c>
      <c r="J118" s="1">
        <v>1</v>
      </c>
    </row>
    <row r="119" spans="1:10" x14ac:dyDescent="0.2">
      <c r="A119" s="1" t="s">
        <v>8481</v>
      </c>
      <c r="B119" s="1" t="s">
        <v>8480</v>
      </c>
      <c r="C119" s="1" t="s">
        <v>8479</v>
      </c>
      <c r="D119" s="2" t="str">
        <f t="shared" si="1"/>
        <v>http://zfin.org/ZDB-GENE-030131-8005</v>
      </c>
      <c r="E119" s="1" t="s">
        <v>8478</v>
      </c>
      <c r="F119" s="1">
        <v>1.8676656252876501E-2</v>
      </c>
      <c r="G119" s="1">
        <v>0.31963288997473699</v>
      </c>
      <c r="H119" s="1">
        <v>0.65800000000000003</v>
      </c>
      <c r="I119" s="1">
        <v>0.48299999999999998</v>
      </c>
      <c r="J119" s="1">
        <v>1</v>
      </c>
    </row>
    <row r="120" spans="1:10" x14ac:dyDescent="0.2">
      <c r="A120" s="1" t="s">
        <v>8477</v>
      </c>
      <c r="B120" s="1" t="s">
        <v>8476</v>
      </c>
      <c r="C120" s="1" t="s">
        <v>8475</v>
      </c>
      <c r="D120" s="2" t="str">
        <f t="shared" si="1"/>
        <v>http://zfin.org/ZDB-GENE-041111-261</v>
      </c>
      <c r="E120" s="1" t="s">
        <v>8474</v>
      </c>
      <c r="F120" s="3">
        <v>7.4752334169030994E-5</v>
      </c>
      <c r="G120" s="1">
        <v>0.32104064722144399</v>
      </c>
      <c r="H120" s="1">
        <v>0.93899999999999995</v>
      </c>
      <c r="I120" s="1">
        <v>0.66700000000000004</v>
      </c>
      <c r="J120" s="1">
        <v>1</v>
      </c>
    </row>
    <row r="121" spans="1:10" x14ac:dyDescent="0.2">
      <c r="A121" s="1" t="s">
        <v>8473</v>
      </c>
      <c r="B121" s="1" t="s">
        <v>8472</v>
      </c>
      <c r="C121" s="1" t="s">
        <v>8471</v>
      </c>
      <c r="D121" s="2" t="str">
        <f t="shared" si="1"/>
        <v>http://zfin.org/</v>
      </c>
      <c r="E121" s="1" t="s">
        <v>4625</v>
      </c>
      <c r="F121" s="1">
        <v>6.32711627819229E-4</v>
      </c>
      <c r="G121" s="1">
        <v>0.321213702536705</v>
      </c>
      <c r="H121" s="1">
        <v>0.28899999999999998</v>
      </c>
      <c r="I121" s="1">
        <v>6.7000000000000004E-2</v>
      </c>
      <c r="J121" s="1">
        <v>1</v>
      </c>
    </row>
    <row r="122" spans="1:10" x14ac:dyDescent="0.2">
      <c r="A122" s="1" t="s">
        <v>8470</v>
      </c>
      <c r="B122" s="1" t="s">
        <v>8469</v>
      </c>
      <c r="C122" s="1" t="s">
        <v>8468</v>
      </c>
      <c r="D122" s="2" t="str">
        <f t="shared" si="1"/>
        <v>http://zfin.org/ZDB-GENE-120709-101</v>
      </c>
      <c r="E122" s="1" t="s">
        <v>8467</v>
      </c>
      <c r="F122" s="1">
        <v>5.7234476873660001E-4</v>
      </c>
      <c r="G122" s="1">
        <v>0.32330493076130101</v>
      </c>
      <c r="H122" s="1">
        <v>0.70199999999999996</v>
      </c>
      <c r="I122" s="1">
        <v>0.38300000000000001</v>
      </c>
      <c r="J122" s="1">
        <v>1</v>
      </c>
    </row>
    <row r="123" spans="1:10" x14ac:dyDescent="0.2">
      <c r="A123" s="1" t="s">
        <v>418</v>
      </c>
      <c r="B123" s="1" t="s">
        <v>417</v>
      </c>
      <c r="C123" s="1" t="s">
        <v>416</v>
      </c>
      <c r="D123" s="2" t="str">
        <f t="shared" si="1"/>
        <v>http://zfin.org/ZDB-GENE-061013-787</v>
      </c>
      <c r="E123" s="1" t="s">
        <v>8466</v>
      </c>
      <c r="F123" s="1">
        <v>4.3548321940927299E-4</v>
      </c>
      <c r="G123" s="1">
        <v>0.32337028498508802</v>
      </c>
      <c r="H123" s="1">
        <v>0.69299999999999995</v>
      </c>
      <c r="I123" s="1">
        <v>0.36699999999999999</v>
      </c>
      <c r="J123" s="1">
        <v>1</v>
      </c>
    </row>
    <row r="124" spans="1:10" x14ac:dyDescent="0.2">
      <c r="A124" s="1" t="s">
        <v>8465</v>
      </c>
      <c r="B124" s="1" t="s">
        <v>8464</v>
      </c>
      <c r="C124" s="1" t="s">
        <v>8463</v>
      </c>
      <c r="D124" s="2" t="str">
        <f t="shared" si="1"/>
        <v>http://zfin.org/ZDB-GENE-040426-1986</v>
      </c>
      <c r="E124" s="1" t="s">
        <v>8462</v>
      </c>
      <c r="F124" s="3">
        <v>4.3507727669211801E-5</v>
      </c>
      <c r="G124" s="1">
        <v>0.32400223555553198</v>
      </c>
      <c r="H124" s="1">
        <v>0.98199999999999998</v>
      </c>
      <c r="I124" s="1">
        <v>0.86699999999999999</v>
      </c>
      <c r="J124" s="1">
        <v>1</v>
      </c>
    </row>
    <row r="125" spans="1:10" x14ac:dyDescent="0.2">
      <c r="A125" s="1" t="s">
        <v>3004</v>
      </c>
      <c r="B125" s="1" t="s">
        <v>3003</v>
      </c>
      <c r="C125" s="1" t="s">
        <v>3002</v>
      </c>
      <c r="D125" s="2" t="str">
        <f t="shared" si="1"/>
        <v>http://zfin.org/ZDB-GENE-040426-728</v>
      </c>
      <c r="E125" s="1" t="s">
        <v>8461</v>
      </c>
      <c r="F125" s="1">
        <v>2.8784776339359899E-2</v>
      </c>
      <c r="G125" s="1">
        <v>0.32540844856871298</v>
      </c>
      <c r="H125" s="1">
        <v>0.246</v>
      </c>
      <c r="I125" s="1">
        <v>0.11700000000000001</v>
      </c>
      <c r="J125" s="1">
        <v>1</v>
      </c>
    </row>
    <row r="126" spans="1:10" x14ac:dyDescent="0.2">
      <c r="A126" s="1" t="s">
        <v>4295</v>
      </c>
      <c r="B126" s="1" t="s">
        <v>4294</v>
      </c>
      <c r="C126" s="1" t="s">
        <v>4293</v>
      </c>
      <c r="D126" s="2" t="str">
        <f t="shared" si="1"/>
        <v>http://zfin.org/ZDB-GENE-080305-8</v>
      </c>
      <c r="E126" s="1" t="s">
        <v>8460</v>
      </c>
      <c r="F126" s="1">
        <v>8.9854794781254002E-4</v>
      </c>
      <c r="G126" s="1">
        <v>0.325586964882147</v>
      </c>
      <c r="H126" s="1">
        <v>0.55300000000000005</v>
      </c>
      <c r="I126" s="1">
        <v>0.25</v>
      </c>
      <c r="J126" s="1">
        <v>1</v>
      </c>
    </row>
    <row r="127" spans="1:10" x14ac:dyDescent="0.2">
      <c r="A127" s="1" t="s">
        <v>8459</v>
      </c>
      <c r="B127" s="1" t="s">
        <v>8458</v>
      </c>
      <c r="C127" s="1" t="s">
        <v>8457</v>
      </c>
      <c r="D127" s="2" t="str">
        <f t="shared" si="1"/>
        <v>http://zfin.org/ZDB-GENE-030131-4194</v>
      </c>
      <c r="E127" s="1" t="s">
        <v>8456</v>
      </c>
      <c r="F127" s="1">
        <v>4.9209794684294201E-3</v>
      </c>
      <c r="G127" s="1">
        <v>0.32591661878344502</v>
      </c>
      <c r="H127" s="1">
        <v>0.32500000000000001</v>
      </c>
      <c r="I127" s="1">
        <v>0.1</v>
      </c>
      <c r="J127" s="1">
        <v>1</v>
      </c>
    </row>
    <row r="128" spans="1:10" x14ac:dyDescent="0.2">
      <c r="A128" s="1" t="s">
        <v>8455</v>
      </c>
      <c r="B128" s="1" t="s">
        <v>8454</v>
      </c>
      <c r="C128" s="1" t="s">
        <v>8453</v>
      </c>
      <c r="D128" s="2" t="str">
        <f t="shared" si="1"/>
        <v>http://zfin.org/ZDB-GENE-141216-493</v>
      </c>
      <c r="E128" s="1" t="s">
        <v>8452</v>
      </c>
      <c r="F128" s="1">
        <v>0.103517218056736</v>
      </c>
      <c r="G128" s="1">
        <v>0.32652191323511698</v>
      </c>
      <c r="H128" s="1">
        <v>0.14899999999999999</v>
      </c>
      <c r="I128" s="1">
        <v>3.3000000000000002E-2</v>
      </c>
      <c r="J128" s="1">
        <v>1</v>
      </c>
    </row>
    <row r="129" spans="1:10" x14ac:dyDescent="0.2">
      <c r="A129" s="1" t="s">
        <v>8451</v>
      </c>
      <c r="B129" s="1" t="s">
        <v>8450</v>
      </c>
      <c r="C129" s="1" t="s">
        <v>8449</v>
      </c>
      <c r="D129" s="2" t="str">
        <f t="shared" si="1"/>
        <v>http://zfin.org/ZDB-GENE-070209-143</v>
      </c>
      <c r="E129" s="1" t="s">
        <v>8448</v>
      </c>
      <c r="F129" s="1">
        <v>9.0737454990380707E-3</v>
      </c>
      <c r="G129" s="1">
        <v>0.326676909090032</v>
      </c>
      <c r="H129" s="1">
        <v>0.49099999999999999</v>
      </c>
      <c r="I129" s="1">
        <v>0.23300000000000001</v>
      </c>
      <c r="J129" s="1">
        <v>1</v>
      </c>
    </row>
    <row r="130" spans="1:10" x14ac:dyDescent="0.2">
      <c r="A130" s="1" t="s">
        <v>3348</v>
      </c>
      <c r="B130" s="1" t="s">
        <v>3347</v>
      </c>
      <c r="C130" s="1" t="s">
        <v>3346</v>
      </c>
      <c r="D130" s="2" t="str">
        <f t="shared" ref="D130:D193" si="2">HYPERLINK(E130)</f>
        <v>http://zfin.org/ZDB-GENE-050522-309</v>
      </c>
      <c r="E130" s="1" t="s">
        <v>8447</v>
      </c>
      <c r="F130" s="3">
        <v>2.4160199768631701E-6</v>
      </c>
      <c r="G130" s="1">
        <v>0.32897568120882698</v>
      </c>
      <c r="H130" s="1">
        <v>0.66700000000000004</v>
      </c>
      <c r="I130" s="1">
        <v>0.28299999999999997</v>
      </c>
      <c r="J130" s="1">
        <v>1</v>
      </c>
    </row>
    <row r="131" spans="1:10" x14ac:dyDescent="0.2">
      <c r="A131" s="1" t="s">
        <v>8446</v>
      </c>
      <c r="B131" s="1" t="s">
        <v>8445</v>
      </c>
      <c r="C131" s="1" t="s">
        <v>8444</v>
      </c>
      <c r="D131" s="2" t="str">
        <f t="shared" si="2"/>
        <v>http://zfin.org/ZDB-GENE-081104-479</v>
      </c>
      <c r="E131" s="1" t="s">
        <v>8443</v>
      </c>
      <c r="F131" s="3">
        <v>2.10933579795385E-8</v>
      </c>
      <c r="G131" s="1">
        <v>0.33041852757279699</v>
      </c>
      <c r="H131" s="1">
        <v>0.307</v>
      </c>
      <c r="I131" s="1">
        <v>1.7000000000000001E-2</v>
      </c>
      <c r="J131" s="1">
        <v>1</v>
      </c>
    </row>
    <row r="132" spans="1:10" x14ac:dyDescent="0.2">
      <c r="A132" s="1" t="s">
        <v>8442</v>
      </c>
      <c r="B132" s="1" t="s">
        <v>8441</v>
      </c>
      <c r="C132" s="1" t="s">
        <v>8440</v>
      </c>
      <c r="D132" s="2" t="str">
        <f t="shared" si="2"/>
        <v>http://zfin.org/ZDB-GENE-040808-68</v>
      </c>
      <c r="E132" s="1" t="s">
        <v>8439</v>
      </c>
      <c r="F132" s="1">
        <v>2.0239114707763E-2</v>
      </c>
      <c r="G132" s="1">
        <v>0.33045029435238998</v>
      </c>
      <c r="H132" s="1">
        <v>0.623</v>
      </c>
      <c r="I132" s="1">
        <v>0.41699999999999998</v>
      </c>
      <c r="J132" s="1">
        <v>1</v>
      </c>
    </row>
    <row r="133" spans="1:10" x14ac:dyDescent="0.2">
      <c r="A133" s="1" t="s">
        <v>8438</v>
      </c>
      <c r="B133" s="1" t="s">
        <v>8437</v>
      </c>
      <c r="C133" s="1" t="s">
        <v>8436</v>
      </c>
      <c r="D133" s="2" t="str">
        <f t="shared" si="2"/>
        <v>http://zfin.org/ZDB-GENE-040115-5</v>
      </c>
      <c r="E133" s="1" t="s">
        <v>8435</v>
      </c>
      <c r="F133" s="1">
        <v>2.5086038052873802E-4</v>
      </c>
      <c r="G133" s="1">
        <v>0.33105240174822298</v>
      </c>
      <c r="H133" s="1">
        <v>0.33300000000000002</v>
      </c>
      <c r="I133" s="1">
        <v>6.7000000000000004E-2</v>
      </c>
      <c r="J133" s="1">
        <v>1</v>
      </c>
    </row>
    <row r="134" spans="1:10" x14ac:dyDescent="0.2">
      <c r="A134" s="1" t="s">
        <v>8434</v>
      </c>
      <c r="B134" s="1" t="s">
        <v>8433</v>
      </c>
      <c r="C134" s="1" t="s">
        <v>8432</v>
      </c>
      <c r="D134" s="2" t="str">
        <f t="shared" si="2"/>
        <v>http://zfin.org/ZDB-GENE-041026-4</v>
      </c>
      <c r="E134" s="1" t="s">
        <v>8431</v>
      </c>
      <c r="F134" s="1">
        <v>6.2685572368846902E-4</v>
      </c>
      <c r="G134" s="1">
        <v>0.33184754764865998</v>
      </c>
      <c r="H134" s="1">
        <v>0.28100000000000003</v>
      </c>
      <c r="I134" s="1">
        <v>0.05</v>
      </c>
      <c r="J134" s="1">
        <v>1</v>
      </c>
    </row>
    <row r="135" spans="1:10" x14ac:dyDescent="0.2">
      <c r="A135" s="1" t="s">
        <v>8430</v>
      </c>
      <c r="B135" s="1" t="s">
        <v>8429</v>
      </c>
      <c r="C135" s="1" t="s">
        <v>8428</v>
      </c>
      <c r="D135" s="2" t="str">
        <f t="shared" si="2"/>
        <v>http://zfin.org/ZDB-GENE-161107-1</v>
      </c>
      <c r="E135" s="1" t="s">
        <v>8427</v>
      </c>
      <c r="F135" s="1">
        <v>2.7835551063462101E-3</v>
      </c>
      <c r="G135" s="1">
        <v>0.33243264573601899</v>
      </c>
      <c r="H135" s="1">
        <v>0.5</v>
      </c>
      <c r="I135" s="1">
        <v>0.217</v>
      </c>
      <c r="J135" s="1">
        <v>1</v>
      </c>
    </row>
    <row r="136" spans="1:10" x14ac:dyDescent="0.2">
      <c r="A136" s="1" t="s">
        <v>463</v>
      </c>
      <c r="B136" s="1" t="s">
        <v>462</v>
      </c>
      <c r="C136" s="1" t="s">
        <v>461</v>
      </c>
      <c r="D136" s="2" t="str">
        <f t="shared" si="2"/>
        <v>http://zfin.org/ZDB-GENE-041014-353</v>
      </c>
      <c r="E136" s="1" t="s">
        <v>8426</v>
      </c>
      <c r="F136" s="1">
        <v>2.4093159430096101E-4</v>
      </c>
      <c r="G136" s="1">
        <v>0.33354840049490198</v>
      </c>
      <c r="H136" s="1">
        <v>0.746</v>
      </c>
      <c r="I136" s="1">
        <v>0.41699999999999998</v>
      </c>
      <c r="J136" s="1">
        <v>1</v>
      </c>
    </row>
    <row r="137" spans="1:10" x14ac:dyDescent="0.2">
      <c r="A137" s="1" t="s">
        <v>8425</v>
      </c>
      <c r="B137" s="1" t="s">
        <v>8424</v>
      </c>
      <c r="C137" s="1" t="s">
        <v>8423</v>
      </c>
      <c r="D137" s="2" t="str">
        <f t="shared" si="2"/>
        <v>http://zfin.org/ZDB-GENE-040426-1663</v>
      </c>
      <c r="E137" s="1" t="s">
        <v>8422</v>
      </c>
      <c r="F137" s="1">
        <v>1.2373030291588301E-2</v>
      </c>
      <c r="G137" s="1">
        <v>0.33574300773920601</v>
      </c>
      <c r="H137" s="1">
        <v>0.42099999999999999</v>
      </c>
      <c r="I137" s="1">
        <v>0.2</v>
      </c>
      <c r="J137" s="1">
        <v>1</v>
      </c>
    </row>
    <row r="138" spans="1:10" x14ac:dyDescent="0.2">
      <c r="A138" s="1" t="s">
        <v>8421</v>
      </c>
      <c r="B138" s="1" t="s">
        <v>8420</v>
      </c>
      <c r="C138" s="1" t="s">
        <v>8419</v>
      </c>
      <c r="D138" s="2" t="str">
        <f t="shared" si="2"/>
        <v>http://zfin.org/ZDB-GENE-030131-7785</v>
      </c>
      <c r="E138" s="1" t="s">
        <v>8418</v>
      </c>
      <c r="F138" s="3">
        <v>3.4165157513036803E-5</v>
      </c>
      <c r="G138" s="1">
        <v>0.33609669032023898</v>
      </c>
      <c r="H138" s="1">
        <v>0.623</v>
      </c>
      <c r="I138" s="1">
        <v>0.28299999999999997</v>
      </c>
      <c r="J138" s="1">
        <v>1</v>
      </c>
    </row>
    <row r="139" spans="1:10" x14ac:dyDescent="0.2">
      <c r="A139" s="1" t="s">
        <v>1371</v>
      </c>
      <c r="B139" s="1" t="s">
        <v>8417</v>
      </c>
      <c r="C139" s="1" t="s">
        <v>1369</v>
      </c>
      <c r="D139" s="2" t="str">
        <f t="shared" si="2"/>
        <v>http://zfin.org/ZDB-GENE-050320-111</v>
      </c>
      <c r="E139" s="1" t="s">
        <v>8416</v>
      </c>
      <c r="F139" s="1">
        <v>1.9706529533866802E-3</v>
      </c>
      <c r="G139" s="1">
        <v>0.33632401655773198</v>
      </c>
      <c r="H139" s="1">
        <v>0.66700000000000004</v>
      </c>
      <c r="I139" s="1">
        <v>0.36699999999999999</v>
      </c>
      <c r="J139" s="1">
        <v>1</v>
      </c>
    </row>
    <row r="140" spans="1:10" x14ac:dyDescent="0.2">
      <c r="A140" s="1" t="s">
        <v>8415</v>
      </c>
      <c r="B140" s="1" t="s">
        <v>8414</v>
      </c>
      <c r="C140" s="1" t="s">
        <v>8413</v>
      </c>
      <c r="D140" s="2" t="str">
        <f t="shared" si="2"/>
        <v>http://zfin.org/ZDB-GENE-020228-4</v>
      </c>
      <c r="E140" s="1" t="s">
        <v>8412</v>
      </c>
      <c r="F140" s="1">
        <v>1.50921307857565E-4</v>
      </c>
      <c r="G140" s="1">
        <v>0.33680842499212899</v>
      </c>
      <c r="H140" s="1">
        <v>0.193</v>
      </c>
      <c r="I140" s="1">
        <v>0</v>
      </c>
      <c r="J140" s="1">
        <v>1</v>
      </c>
    </row>
    <row r="141" spans="1:10" x14ac:dyDescent="0.2">
      <c r="A141" s="1" t="s">
        <v>8411</v>
      </c>
      <c r="B141" s="1" t="s">
        <v>8410</v>
      </c>
      <c r="C141" s="1" t="s">
        <v>8409</v>
      </c>
      <c r="D141" s="2" t="str">
        <f t="shared" si="2"/>
        <v>http://zfin.org/ZDB-GENE-041114-84</v>
      </c>
      <c r="E141" s="1" t="s">
        <v>8408</v>
      </c>
      <c r="F141" s="1">
        <v>2.1283768936484099E-4</v>
      </c>
      <c r="G141" s="1">
        <v>0.33742130502236301</v>
      </c>
      <c r="H141" s="1">
        <v>0.23699999999999999</v>
      </c>
      <c r="I141" s="1">
        <v>3.3000000000000002E-2</v>
      </c>
      <c r="J141" s="1">
        <v>1</v>
      </c>
    </row>
    <row r="142" spans="1:10" x14ac:dyDescent="0.2">
      <c r="A142" s="1" t="s">
        <v>8407</v>
      </c>
      <c r="B142" s="1" t="s">
        <v>8406</v>
      </c>
      <c r="C142" s="1" t="s">
        <v>8405</v>
      </c>
      <c r="D142" s="2" t="str">
        <f t="shared" si="2"/>
        <v>http://zfin.org/ZDB-GENE-030825-7</v>
      </c>
      <c r="E142" s="1" t="s">
        <v>8404</v>
      </c>
      <c r="F142" s="1">
        <v>1.11431984262595E-3</v>
      </c>
      <c r="G142" s="1">
        <v>0.34022987737495702</v>
      </c>
      <c r="H142" s="1">
        <v>0.22800000000000001</v>
      </c>
      <c r="I142" s="1">
        <v>1.7000000000000001E-2</v>
      </c>
      <c r="J142" s="1">
        <v>1</v>
      </c>
    </row>
    <row r="143" spans="1:10" x14ac:dyDescent="0.2">
      <c r="A143" s="1" t="s">
        <v>8403</v>
      </c>
      <c r="B143" s="1" t="s">
        <v>8402</v>
      </c>
      <c r="C143" s="1" t="s">
        <v>8401</v>
      </c>
      <c r="D143" s="2" t="str">
        <f t="shared" si="2"/>
        <v>http://zfin.org/ZDB-GENE-100913-2</v>
      </c>
      <c r="E143" s="1" t="s">
        <v>8400</v>
      </c>
      <c r="F143" s="1">
        <v>1.1550595765955299E-3</v>
      </c>
      <c r="G143" s="1">
        <v>0.34066497328963702</v>
      </c>
      <c r="H143" s="1">
        <v>0.307</v>
      </c>
      <c r="I143" s="1">
        <v>8.3000000000000004E-2</v>
      </c>
      <c r="J143" s="1">
        <v>1</v>
      </c>
    </row>
    <row r="144" spans="1:10" x14ac:dyDescent="0.2">
      <c r="A144" s="1" t="s">
        <v>8399</v>
      </c>
      <c r="B144" s="1" t="s">
        <v>8398</v>
      </c>
      <c r="C144" s="1" t="s">
        <v>8397</v>
      </c>
      <c r="D144" s="2" t="str">
        <f t="shared" si="2"/>
        <v>http://zfin.org/ZDB-GENE-030131-2459</v>
      </c>
      <c r="E144" s="1" t="s">
        <v>8396</v>
      </c>
      <c r="F144" s="3">
        <v>5.5952402623851899E-6</v>
      </c>
      <c r="G144" s="1">
        <v>0.34069400963646201</v>
      </c>
      <c r="H144" s="1">
        <v>0.73699999999999999</v>
      </c>
      <c r="I144" s="1">
        <v>0.35</v>
      </c>
      <c r="J144" s="1">
        <v>1</v>
      </c>
    </row>
    <row r="145" spans="1:10" x14ac:dyDescent="0.2">
      <c r="A145" s="1" t="s">
        <v>8395</v>
      </c>
      <c r="B145" s="1" t="s">
        <v>8394</v>
      </c>
      <c r="C145" s="1" t="s">
        <v>8393</v>
      </c>
      <c r="D145" s="2" t="str">
        <f t="shared" si="2"/>
        <v>http://zfin.org/ZDB-GENE-091204-123</v>
      </c>
      <c r="E145" s="1" t="s">
        <v>8392</v>
      </c>
      <c r="F145" s="1">
        <v>8.607245748358E-3</v>
      </c>
      <c r="G145" s="1">
        <v>0.34154677222554902</v>
      </c>
      <c r="H145" s="1">
        <v>0.184</v>
      </c>
      <c r="I145" s="1">
        <v>3.3000000000000002E-2</v>
      </c>
      <c r="J145" s="1">
        <v>1</v>
      </c>
    </row>
    <row r="146" spans="1:10" x14ac:dyDescent="0.2">
      <c r="A146" s="1" t="s">
        <v>8391</v>
      </c>
      <c r="B146" s="1" t="s">
        <v>8390</v>
      </c>
      <c r="C146" s="1" t="s">
        <v>8389</v>
      </c>
      <c r="D146" s="2" t="str">
        <f t="shared" si="2"/>
        <v>http://zfin.org/ZDB-GENE-050417-103</v>
      </c>
      <c r="E146" s="1" t="s">
        <v>8388</v>
      </c>
      <c r="F146" s="1">
        <v>2.3487672143271601E-3</v>
      </c>
      <c r="G146" s="1">
        <v>0.34216617827828799</v>
      </c>
      <c r="H146" s="1">
        <v>0.29799999999999999</v>
      </c>
      <c r="I146" s="1">
        <v>6.7000000000000004E-2</v>
      </c>
      <c r="J146" s="1">
        <v>1</v>
      </c>
    </row>
    <row r="147" spans="1:10" x14ac:dyDescent="0.2">
      <c r="A147" s="1" t="s">
        <v>8387</v>
      </c>
      <c r="B147" s="1" t="s">
        <v>8386</v>
      </c>
      <c r="C147" s="1" t="s">
        <v>8385</v>
      </c>
      <c r="D147" s="2" t="str">
        <f t="shared" si="2"/>
        <v>http://zfin.org/ZDB-GENE-040426-1414</v>
      </c>
      <c r="E147" s="1" t="s">
        <v>8384</v>
      </c>
      <c r="F147" s="1">
        <v>5.1073100558595298E-2</v>
      </c>
      <c r="G147" s="1">
        <v>0.342598298277907</v>
      </c>
      <c r="H147" s="1">
        <v>0.56999999999999995</v>
      </c>
      <c r="I147" s="1">
        <v>0.35</v>
      </c>
      <c r="J147" s="1">
        <v>1</v>
      </c>
    </row>
    <row r="148" spans="1:10" x14ac:dyDescent="0.2">
      <c r="A148" s="1" t="s">
        <v>8383</v>
      </c>
      <c r="B148" s="1" t="s">
        <v>8382</v>
      </c>
      <c r="C148" s="1" t="s">
        <v>8381</v>
      </c>
      <c r="D148" s="2" t="str">
        <f t="shared" si="2"/>
        <v>http://zfin.org/ZDB-GENE-030131-6414</v>
      </c>
      <c r="E148" s="1" t="s">
        <v>8380</v>
      </c>
      <c r="F148" s="3">
        <v>4.9161736912231803E-5</v>
      </c>
      <c r="G148" s="1">
        <v>0.34398065961075502</v>
      </c>
      <c r="H148" s="1">
        <v>0.36</v>
      </c>
      <c r="I148" s="1">
        <v>0.11700000000000001</v>
      </c>
      <c r="J148" s="1">
        <v>1</v>
      </c>
    </row>
    <row r="149" spans="1:10" x14ac:dyDescent="0.2">
      <c r="A149" s="1" t="s">
        <v>3424</v>
      </c>
      <c r="B149" s="1" t="s">
        <v>3423</v>
      </c>
      <c r="C149" s="1" t="s">
        <v>3422</v>
      </c>
      <c r="D149" s="2" t="str">
        <f t="shared" si="2"/>
        <v>http://zfin.org/ZDB-GENE-030131-3570</v>
      </c>
      <c r="E149" s="1" t="s">
        <v>8379</v>
      </c>
      <c r="F149" s="1">
        <v>1.18004829195618E-4</v>
      </c>
      <c r="G149" s="1">
        <v>0.34579918748241401</v>
      </c>
      <c r="H149" s="1">
        <v>0.36799999999999999</v>
      </c>
      <c r="I149" s="1">
        <v>0.16700000000000001</v>
      </c>
      <c r="J149" s="1">
        <v>1</v>
      </c>
    </row>
    <row r="150" spans="1:10" x14ac:dyDescent="0.2">
      <c r="A150" s="1" t="s">
        <v>8378</v>
      </c>
      <c r="B150" s="1" t="s">
        <v>8377</v>
      </c>
      <c r="C150" s="1" t="s">
        <v>8376</v>
      </c>
      <c r="D150" s="2" t="str">
        <f t="shared" si="2"/>
        <v>http://zfin.org/ZDB-GENE-121030-4</v>
      </c>
      <c r="E150" s="1" t="s">
        <v>8375</v>
      </c>
      <c r="F150" s="1">
        <v>5.6451468918053199E-3</v>
      </c>
      <c r="G150" s="1">
        <v>0.34622820102515101</v>
      </c>
      <c r="H150" s="1">
        <v>0.38600000000000001</v>
      </c>
      <c r="I150" s="1">
        <v>0.15</v>
      </c>
      <c r="J150" s="1">
        <v>1</v>
      </c>
    </row>
    <row r="151" spans="1:10" x14ac:dyDescent="0.2">
      <c r="A151" s="1" t="s">
        <v>8374</v>
      </c>
      <c r="B151" s="1" t="s">
        <v>8373</v>
      </c>
      <c r="C151" s="1" t="s">
        <v>8372</v>
      </c>
      <c r="D151" s="2" t="str">
        <f t="shared" si="2"/>
        <v>http://zfin.org/ZDB-GENE-050220-4</v>
      </c>
      <c r="E151" s="1" t="s">
        <v>8371</v>
      </c>
      <c r="F151" s="1">
        <v>4.37675821355493E-4</v>
      </c>
      <c r="G151" s="1">
        <v>0.348037257559208</v>
      </c>
      <c r="H151" s="1">
        <v>0.43</v>
      </c>
      <c r="I151" s="1">
        <v>0.13300000000000001</v>
      </c>
      <c r="J151" s="1">
        <v>1</v>
      </c>
    </row>
    <row r="152" spans="1:10" x14ac:dyDescent="0.2">
      <c r="A152" s="1" t="s">
        <v>8370</v>
      </c>
      <c r="B152" s="1" t="s">
        <v>8369</v>
      </c>
      <c r="D152" s="2" t="str">
        <f t="shared" si="2"/>
        <v>http://zfin.org/</v>
      </c>
      <c r="E152" s="1" t="s">
        <v>4625</v>
      </c>
      <c r="F152" s="1">
        <v>2.0503880571314401E-2</v>
      </c>
      <c r="G152" s="1">
        <v>0.35038985224747399</v>
      </c>
      <c r="H152" s="1">
        <v>0.27200000000000002</v>
      </c>
      <c r="I152" s="1">
        <v>8.3000000000000004E-2</v>
      </c>
      <c r="J152" s="1">
        <v>1</v>
      </c>
    </row>
    <row r="153" spans="1:10" x14ac:dyDescent="0.2">
      <c r="A153" s="1" t="s">
        <v>8368</v>
      </c>
      <c r="B153" s="1" t="s">
        <v>8367</v>
      </c>
      <c r="C153" s="1" t="s">
        <v>8366</v>
      </c>
      <c r="D153" s="2" t="str">
        <f t="shared" si="2"/>
        <v>http://zfin.org/ZDB-GENE-110411-185</v>
      </c>
      <c r="E153" s="1" t="s">
        <v>8365</v>
      </c>
      <c r="F153" s="3">
        <v>2.07623077023392E-5</v>
      </c>
      <c r="G153" s="1">
        <v>0.35144008391155201</v>
      </c>
      <c r="H153" s="1">
        <v>0.29799999999999999</v>
      </c>
      <c r="I153" s="1">
        <v>1.7000000000000001E-2</v>
      </c>
      <c r="J153" s="1">
        <v>1</v>
      </c>
    </row>
    <row r="154" spans="1:10" x14ac:dyDescent="0.2">
      <c r="A154" s="1" t="s">
        <v>1477</v>
      </c>
      <c r="B154" s="1" t="s">
        <v>1476</v>
      </c>
      <c r="C154" s="1" t="s">
        <v>1475</v>
      </c>
      <c r="D154" s="2" t="str">
        <f t="shared" si="2"/>
        <v>http://zfin.org/ZDB-GENE-000619-1</v>
      </c>
      <c r="E154" s="1" t="s">
        <v>8364</v>
      </c>
      <c r="F154" s="1">
        <v>5.7825497179268798E-2</v>
      </c>
      <c r="G154" s="1">
        <v>0.35179196197019602</v>
      </c>
      <c r="H154" s="1">
        <v>0.54400000000000004</v>
      </c>
      <c r="I154" s="1">
        <v>0.45</v>
      </c>
      <c r="J154" s="1">
        <v>1</v>
      </c>
    </row>
    <row r="155" spans="1:10" x14ac:dyDescent="0.2">
      <c r="A155" s="1" t="s">
        <v>518</v>
      </c>
      <c r="B155" s="1" t="s">
        <v>517</v>
      </c>
      <c r="C155" s="1" t="s">
        <v>516</v>
      </c>
      <c r="D155" s="2" t="str">
        <f t="shared" si="2"/>
        <v>http://zfin.org/ZDB-GENE-040704-24</v>
      </c>
      <c r="E155" s="1" t="s">
        <v>8363</v>
      </c>
      <c r="F155" s="3">
        <v>9.2382125692581097E-6</v>
      </c>
      <c r="G155" s="1">
        <v>0.35179470406605101</v>
      </c>
      <c r="H155" s="1">
        <v>0.77200000000000002</v>
      </c>
      <c r="I155" s="1">
        <v>0.4</v>
      </c>
      <c r="J155" s="1">
        <v>1</v>
      </c>
    </row>
    <row r="156" spans="1:10" x14ac:dyDescent="0.2">
      <c r="A156" s="1" t="s">
        <v>8362</v>
      </c>
      <c r="B156" s="1" t="s">
        <v>8361</v>
      </c>
      <c r="C156" s="1" t="s">
        <v>8360</v>
      </c>
      <c r="D156" s="2" t="str">
        <f t="shared" si="2"/>
        <v>http://zfin.org/ZDB-GENE-030131-5980</v>
      </c>
      <c r="E156" s="1" t="s">
        <v>8359</v>
      </c>
      <c r="F156" s="1">
        <v>3.6171243239689702E-4</v>
      </c>
      <c r="G156" s="1">
        <v>0.35207530067285098</v>
      </c>
      <c r="H156" s="1">
        <v>0.254</v>
      </c>
      <c r="I156" s="1">
        <v>1.7000000000000001E-2</v>
      </c>
      <c r="J156" s="1">
        <v>1</v>
      </c>
    </row>
    <row r="157" spans="1:10" x14ac:dyDescent="0.2">
      <c r="A157" s="1" t="s">
        <v>8358</v>
      </c>
      <c r="B157" s="1" t="s">
        <v>8357</v>
      </c>
      <c r="C157" s="1" t="s">
        <v>8356</v>
      </c>
      <c r="D157" s="2" t="str">
        <f t="shared" si="2"/>
        <v>http://zfin.org/ZDB-GENE-081107-63</v>
      </c>
      <c r="E157" s="1" t="s">
        <v>8355</v>
      </c>
      <c r="F157" s="3">
        <v>7.9633444575219996E-5</v>
      </c>
      <c r="G157" s="1">
        <v>0.35212000378445302</v>
      </c>
      <c r="H157" s="1">
        <v>0.91200000000000003</v>
      </c>
      <c r="I157" s="1">
        <v>0.66700000000000004</v>
      </c>
      <c r="J157" s="1">
        <v>1</v>
      </c>
    </row>
    <row r="158" spans="1:10" x14ac:dyDescent="0.2">
      <c r="A158" s="1" t="s">
        <v>8354</v>
      </c>
      <c r="B158" s="1" t="s">
        <v>8353</v>
      </c>
      <c r="C158" s="1" t="s">
        <v>8352</v>
      </c>
      <c r="D158" s="2" t="str">
        <f t="shared" si="2"/>
        <v>http://zfin.org/ZDB-GENE-040426-1676</v>
      </c>
      <c r="E158" s="1" t="s">
        <v>8351</v>
      </c>
      <c r="F158" s="1">
        <v>3.1073764748141799E-4</v>
      </c>
      <c r="G158" s="1">
        <v>0.35258971280877099</v>
      </c>
      <c r="H158" s="1">
        <v>0.38600000000000001</v>
      </c>
      <c r="I158" s="1">
        <v>0.1</v>
      </c>
      <c r="J158" s="1">
        <v>1</v>
      </c>
    </row>
    <row r="159" spans="1:10" x14ac:dyDescent="0.2">
      <c r="A159" s="1" t="s">
        <v>8350</v>
      </c>
      <c r="B159" s="1" t="s">
        <v>8349</v>
      </c>
      <c r="C159" s="1" t="s">
        <v>8348</v>
      </c>
      <c r="D159" s="2" t="str">
        <f t="shared" si="2"/>
        <v>http://zfin.org/ZDB-GENE-050417-332</v>
      </c>
      <c r="E159" s="1" t="s">
        <v>8347</v>
      </c>
      <c r="F159" s="1">
        <v>3.6112825870945201E-3</v>
      </c>
      <c r="G159" s="1">
        <v>0.35348893430943201</v>
      </c>
      <c r="H159" s="1">
        <v>0.45600000000000002</v>
      </c>
      <c r="I159" s="1">
        <v>0.2</v>
      </c>
      <c r="J159" s="1">
        <v>1</v>
      </c>
    </row>
    <row r="160" spans="1:10" x14ac:dyDescent="0.2">
      <c r="A160" s="1" t="s">
        <v>8346</v>
      </c>
      <c r="B160" s="1" t="s">
        <v>8345</v>
      </c>
      <c r="C160" s="1" t="s">
        <v>8344</v>
      </c>
      <c r="D160" s="2" t="str">
        <f t="shared" si="2"/>
        <v>http://zfin.org/ZDB-GENE-070705-309</v>
      </c>
      <c r="E160" s="1" t="s">
        <v>8343</v>
      </c>
      <c r="F160" s="1">
        <v>4.6270619780085101E-3</v>
      </c>
      <c r="G160" s="1">
        <v>0.35377720405316099</v>
      </c>
      <c r="H160" s="1">
        <v>0.36</v>
      </c>
      <c r="I160" s="1">
        <v>0.11700000000000001</v>
      </c>
      <c r="J160" s="1">
        <v>1</v>
      </c>
    </row>
    <row r="161" spans="1:10" x14ac:dyDescent="0.2">
      <c r="A161" s="1" t="s">
        <v>2854</v>
      </c>
      <c r="B161" s="1" t="s">
        <v>2853</v>
      </c>
      <c r="C161" s="1" t="s">
        <v>2852</v>
      </c>
      <c r="D161" s="2" t="str">
        <f t="shared" si="2"/>
        <v>http://zfin.org/ZDB-GENE-001229-2</v>
      </c>
      <c r="E161" s="1" t="s">
        <v>8342</v>
      </c>
      <c r="F161" s="1">
        <v>1.1808494708680901E-3</v>
      </c>
      <c r="G161" s="1">
        <v>0.35503448208006</v>
      </c>
      <c r="H161" s="1">
        <v>0.5</v>
      </c>
      <c r="I161" s="1">
        <v>0.2</v>
      </c>
      <c r="J161" s="1">
        <v>1</v>
      </c>
    </row>
    <row r="162" spans="1:10" x14ac:dyDescent="0.2">
      <c r="A162" s="1" t="s">
        <v>8341</v>
      </c>
      <c r="B162" s="1" t="s">
        <v>8340</v>
      </c>
      <c r="C162" s="1" t="s">
        <v>8339</v>
      </c>
      <c r="D162" s="2" t="str">
        <f t="shared" si="2"/>
        <v>http://zfin.org/ZDB-GENE-050506-113</v>
      </c>
      <c r="E162" s="1" t="s">
        <v>8338</v>
      </c>
      <c r="F162" s="1">
        <v>6.5511210540274102E-4</v>
      </c>
      <c r="G162" s="1">
        <v>0.35545204002470498</v>
      </c>
      <c r="H162" s="1">
        <v>0.88600000000000001</v>
      </c>
      <c r="I162" s="1">
        <v>0.63300000000000001</v>
      </c>
      <c r="J162" s="1">
        <v>1</v>
      </c>
    </row>
    <row r="163" spans="1:10" x14ac:dyDescent="0.2">
      <c r="A163" s="1" t="s">
        <v>466</v>
      </c>
      <c r="B163" s="1" t="s">
        <v>465</v>
      </c>
      <c r="C163" s="1" t="s">
        <v>464</v>
      </c>
      <c r="D163" s="2" t="str">
        <f t="shared" si="2"/>
        <v>http://zfin.org/ZDB-GENE-070112-1912</v>
      </c>
      <c r="E163" s="1" t="s">
        <v>8337</v>
      </c>
      <c r="F163" s="3">
        <v>1.7662662725053999E-7</v>
      </c>
      <c r="G163" s="1">
        <v>0.35703911555580897</v>
      </c>
      <c r="H163" s="1">
        <v>0.78100000000000003</v>
      </c>
      <c r="I163" s="1">
        <v>0.35</v>
      </c>
      <c r="J163" s="1">
        <v>1</v>
      </c>
    </row>
    <row r="164" spans="1:10" x14ac:dyDescent="0.2">
      <c r="A164" s="1" t="s">
        <v>8336</v>
      </c>
      <c r="B164" s="1" t="s">
        <v>8335</v>
      </c>
      <c r="C164" s="1" t="s">
        <v>8334</v>
      </c>
      <c r="D164" s="2" t="str">
        <f t="shared" si="2"/>
        <v>http://zfin.org/ZDB-GENE-081106-1</v>
      </c>
      <c r="E164" s="1" t="s">
        <v>8333</v>
      </c>
      <c r="F164" s="1">
        <v>3.1443634311187499E-3</v>
      </c>
      <c r="G164" s="1">
        <v>0.358409031239183</v>
      </c>
      <c r="H164" s="1">
        <v>0.14899999999999999</v>
      </c>
      <c r="I164" s="1">
        <v>3.3000000000000002E-2</v>
      </c>
      <c r="J164" s="1">
        <v>1</v>
      </c>
    </row>
    <row r="165" spans="1:10" x14ac:dyDescent="0.2">
      <c r="A165" s="1" t="s">
        <v>8332</v>
      </c>
      <c r="B165" s="1" t="s">
        <v>8331</v>
      </c>
      <c r="C165" s="1" t="s">
        <v>8330</v>
      </c>
      <c r="D165" s="2" t="str">
        <f t="shared" si="2"/>
        <v>http://zfin.org/ZDB-GENE-060804-1</v>
      </c>
      <c r="E165" s="1" t="s">
        <v>8329</v>
      </c>
      <c r="F165" s="3">
        <v>8.4839814496105698E-5</v>
      </c>
      <c r="G165" s="1">
        <v>0.359054890958316</v>
      </c>
      <c r="H165" s="1">
        <v>0.38600000000000001</v>
      </c>
      <c r="I165" s="1">
        <v>0.16700000000000001</v>
      </c>
      <c r="J165" s="1">
        <v>1</v>
      </c>
    </row>
    <row r="166" spans="1:10" x14ac:dyDescent="0.2">
      <c r="A166" s="1" t="s">
        <v>8328</v>
      </c>
      <c r="B166" s="1" t="s">
        <v>8327</v>
      </c>
      <c r="C166" s="1" t="s">
        <v>8326</v>
      </c>
      <c r="D166" s="2" t="str">
        <f t="shared" si="2"/>
        <v>http://zfin.org/ZDB-GENE-040426-1682</v>
      </c>
      <c r="E166" s="1" t="s">
        <v>8325</v>
      </c>
      <c r="F166" s="3">
        <v>8.8152759239343303E-5</v>
      </c>
      <c r="G166" s="1">
        <v>0.35988566881796502</v>
      </c>
      <c r="H166" s="1">
        <v>0.70199999999999996</v>
      </c>
      <c r="I166" s="1">
        <v>0.35</v>
      </c>
      <c r="J166" s="1">
        <v>1</v>
      </c>
    </row>
    <row r="167" spans="1:10" x14ac:dyDescent="0.2">
      <c r="A167" s="1" t="s">
        <v>8324</v>
      </c>
      <c r="B167" s="1" t="s">
        <v>8323</v>
      </c>
      <c r="C167" s="1" t="s">
        <v>8322</v>
      </c>
      <c r="D167" s="2" t="str">
        <f t="shared" si="2"/>
        <v>http://zfin.org/ZDB-GENE-030131-2438</v>
      </c>
      <c r="E167" s="1" t="s">
        <v>8321</v>
      </c>
      <c r="F167" s="3">
        <v>1.28731104171707E-5</v>
      </c>
      <c r="G167" s="1">
        <v>0.36048534960127099</v>
      </c>
      <c r="H167" s="1">
        <v>0.23699999999999999</v>
      </c>
      <c r="I167" s="1">
        <v>0</v>
      </c>
      <c r="J167" s="1">
        <v>1</v>
      </c>
    </row>
    <row r="168" spans="1:10" x14ac:dyDescent="0.2">
      <c r="A168" s="1" t="s">
        <v>8320</v>
      </c>
      <c r="B168" s="1" t="s">
        <v>8319</v>
      </c>
      <c r="C168" s="1" t="s">
        <v>8318</v>
      </c>
      <c r="D168" s="2" t="str">
        <f t="shared" si="2"/>
        <v>http://zfin.org/ZDB-GENE-041010-104</v>
      </c>
      <c r="E168" s="1" t="s">
        <v>8317</v>
      </c>
      <c r="F168" s="1">
        <v>1.5242668395786499E-3</v>
      </c>
      <c r="G168" s="1">
        <v>0.36051791334247102</v>
      </c>
      <c r="H168" s="1">
        <v>0.56100000000000005</v>
      </c>
      <c r="I168" s="1">
        <v>0.26700000000000002</v>
      </c>
      <c r="J168" s="1">
        <v>1</v>
      </c>
    </row>
    <row r="169" spans="1:10" x14ac:dyDescent="0.2">
      <c r="A169" s="1" t="s">
        <v>8316</v>
      </c>
      <c r="B169" s="1" t="s">
        <v>8315</v>
      </c>
      <c r="C169" s="1" t="s">
        <v>8314</v>
      </c>
      <c r="D169" s="2" t="str">
        <f t="shared" si="2"/>
        <v>http://zfin.org/ZDB-GENE-041114-67</v>
      </c>
      <c r="E169" s="1" t="s">
        <v>8313</v>
      </c>
      <c r="F169" s="1">
        <v>1.3962748879595201E-4</v>
      </c>
      <c r="G169" s="1">
        <v>0.36060130963713699</v>
      </c>
      <c r="H169" s="1">
        <v>0.93</v>
      </c>
      <c r="I169" s="1">
        <v>0.66700000000000004</v>
      </c>
      <c r="J169" s="1">
        <v>1</v>
      </c>
    </row>
    <row r="170" spans="1:10" x14ac:dyDescent="0.2">
      <c r="A170" s="1" t="s">
        <v>1687</v>
      </c>
      <c r="B170" s="1" t="s">
        <v>1686</v>
      </c>
      <c r="C170" s="1" t="s">
        <v>1685</v>
      </c>
      <c r="D170" s="2" t="str">
        <f t="shared" si="2"/>
        <v>http://zfin.org/ZDB-GENE-050311-1</v>
      </c>
      <c r="E170" s="1" t="s">
        <v>8312</v>
      </c>
      <c r="F170" s="1">
        <v>1.5062319848283001E-4</v>
      </c>
      <c r="G170" s="1">
        <v>0.361448026596219</v>
      </c>
      <c r="H170" s="1">
        <v>0.754</v>
      </c>
      <c r="I170" s="1">
        <v>0.41699999999999998</v>
      </c>
      <c r="J170" s="1">
        <v>1</v>
      </c>
    </row>
    <row r="171" spans="1:10" x14ac:dyDescent="0.2">
      <c r="A171" s="1" t="s">
        <v>552</v>
      </c>
      <c r="B171" s="1" t="s">
        <v>551</v>
      </c>
      <c r="C171" s="1" t="s">
        <v>550</v>
      </c>
      <c r="D171" s="2" t="str">
        <f t="shared" si="2"/>
        <v>http://zfin.org/ZDB-GENE-080220-51</v>
      </c>
      <c r="E171" s="1" t="s">
        <v>8311</v>
      </c>
      <c r="F171" s="3">
        <v>4.4935295767738698E-7</v>
      </c>
      <c r="G171" s="1">
        <v>0.362300590351254</v>
      </c>
      <c r="H171" s="1">
        <v>0.84199999999999997</v>
      </c>
      <c r="I171" s="1">
        <v>0.45</v>
      </c>
      <c r="J171" s="1">
        <v>1</v>
      </c>
    </row>
    <row r="172" spans="1:10" x14ac:dyDescent="0.2">
      <c r="A172" s="1" t="s">
        <v>3153</v>
      </c>
      <c r="B172" s="1" t="s">
        <v>3152</v>
      </c>
      <c r="C172" s="1" t="s">
        <v>3151</v>
      </c>
      <c r="D172" s="2" t="str">
        <f t="shared" si="2"/>
        <v>http://zfin.org/ZDB-GENE-040426-1977</v>
      </c>
      <c r="E172" s="1" t="s">
        <v>8310</v>
      </c>
      <c r="F172" s="1">
        <v>1.02037044625115E-4</v>
      </c>
      <c r="G172" s="1">
        <v>0.36261570557329698</v>
      </c>
      <c r="H172" s="1">
        <v>0.58799999999999997</v>
      </c>
      <c r="I172" s="1">
        <v>0.25</v>
      </c>
      <c r="J172" s="1">
        <v>1</v>
      </c>
    </row>
    <row r="173" spans="1:10" x14ac:dyDescent="0.2">
      <c r="A173" s="1" t="s">
        <v>2564</v>
      </c>
      <c r="B173" s="1" t="s">
        <v>2563</v>
      </c>
      <c r="C173" s="1" t="s">
        <v>2562</v>
      </c>
      <c r="D173" s="2" t="str">
        <f t="shared" si="2"/>
        <v>http://zfin.org/ZDB-GENE-131127-95</v>
      </c>
      <c r="E173" s="1" t="s">
        <v>8309</v>
      </c>
      <c r="F173" s="1">
        <v>1.5520784916800499E-2</v>
      </c>
      <c r="G173" s="1">
        <v>0.36501554060055103</v>
      </c>
      <c r="H173" s="1">
        <v>0.439</v>
      </c>
      <c r="I173" s="1">
        <v>0.2</v>
      </c>
      <c r="J173" s="1">
        <v>1</v>
      </c>
    </row>
    <row r="174" spans="1:10" x14ac:dyDescent="0.2">
      <c r="A174" s="1" t="s">
        <v>8308</v>
      </c>
      <c r="B174" s="1" t="s">
        <v>8307</v>
      </c>
      <c r="C174" s="1" t="s">
        <v>8306</v>
      </c>
      <c r="D174" s="2" t="str">
        <f t="shared" si="2"/>
        <v>http://zfin.org/ZDB-GENE-070521-5</v>
      </c>
      <c r="E174" s="1" t="s">
        <v>8305</v>
      </c>
      <c r="F174" s="1">
        <v>1.5438241508862501E-2</v>
      </c>
      <c r="G174" s="1">
        <v>0.36526165402924499</v>
      </c>
      <c r="H174" s="1">
        <v>0.52600000000000002</v>
      </c>
      <c r="I174" s="1">
        <v>0.28299999999999997</v>
      </c>
      <c r="J174" s="1">
        <v>1</v>
      </c>
    </row>
    <row r="175" spans="1:10" x14ac:dyDescent="0.2">
      <c r="A175" s="1" t="s">
        <v>8304</v>
      </c>
      <c r="B175" s="1" t="s">
        <v>8303</v>
      </c>
      <c r="C175" s="1" t="s">
        <v>8302</v>
      </c>
      <c r="D175" s="2" t="str">
        <f t="shared" si="2"/>
        <v>http://zfin.org/ZDB-GENE-041111-310</v>
      </c>
      <c r="E175" s="1" t="s">
        <v>8301</v>
      </c>
      <c r="F175" s="1">
        <v>3.06762614162837E-3</v>
      </c>
      <c r="G175" s="1">
        <v>0.36543025138122998</v>
      </c>
      <c r="H175" s="1">
        <v>0.5</v>
      </c>
      <c r="I175" s="1">
        <v>0.217</v>
      </c>
      <c r="J175" s="1">
        <v>1</v>
      </c>
    </row>
    <row r="176" spans="1:10" x14ac:dyDescent="0.2">
      <c r="A176" s="1" t="s">
        <v>8300</v>
      </c>
      <c r="B176" s="1" t="s">
        <v>8299</v>
      </c>
      <c r="C176" s="1" t="s">
        <v>8298</v>
      </c>
      <c r="D176" s="2" t="str">
        <f t="shared" si="2"/>
        <v>http://zfin.org/ZDB-GENE-030131-184</v>
      </c>
      <c r="E176" s="1" t="s">
        <v>8297</v>
      </c>
      <c r="F176" s="1">
        <v>1.89747960095716E-3</v>
      </c>
      <c r="G176" s="1">
        <v>0.365963404155496</v>
      </c>
      <c r="H176" s="1">
        <v>0.36799999999999999</v>
      </c>
      <c r="I176" s="1">
        <v>0.13300000000000001</v>
      </c>
      <c r="J176" s="1">
        <v>1</v>
      </c>
    </row>
    <row r="177" spans="1:10" x14ac:dyDescent="0.2">
      <c r="A177" s="1" t="s">
        <v>3636</v>
      </c>
      <c r="B177" s="1" t="s">
        <v>8296</v>
      </c>
      <c r="C177" s="1" t="s">
        <v>8295</v>
      </c>
      <c r="D177" s="2" t="str">
        <f t="shared" si="2"/>
        <v>http://zfin.org/ZDB-GENE-040724-9</v>
      </c>
      <c r="E177" s="1" t="s">
        <v>8294</v>
      </c>
      <c r="F177" s="3">
        <v>2.44730712634459E-7</v>
      </c>
      <c r="G177" s="1">
        <v>0.367954189604555</v>
      </c>
      <c r="H177" s="1">
        <v>0.439</v>
      </c>
      <c r="I177" s="1">
        <v>8.3000000000000004E-2</v>
      </c>
      <c r="J177" s="1">
        <v>1</v>
      </c>
    </row>
    <row r="178" spans="1:10" x14ac:dyDescent="0.2">
      <c r="A178" s="1" t="s">
        <v>8293</v>
      </c>
      <c r="B178" s="1" t="s">
        <v>8292</v>
      </c>
      <c r="C178" s="1" t="s">
        <v>8291</v>
      </c>
      <c r="D178" s="2" t="str">
        <f t="shared" si="2"/>
        <v>http://zfin.org/ZDB-GENE-030131-1024</v>
      </c>
      <c r="E178" s="1" t="s">
        <v>8290</v>
      </c>
      <c r="F178" s="1">
        <v>7.03100336216145E-4</v>
      </c>
      <c r="G178" s="1">
        <v>0.36936833641382599</v>
      </c>
      <c r="H178" s="1">
        <v>0.71899999999999997</v>
      </c>
      <c r="I178" s="1">
        <v>0.4</v>
      </c>
      <c r="J178" s="1">
        <v>1</v>
      </c>
    </row>
    <row r="179" spans="1:10" x14ac:dyDescent="0.2">
      <c r="A179" s="1" t="s">
        <v>8289</v>
      </c>
      <c r="B179" s="1" t="s">
        <v>8288</v>
      </c>
      <c r="C179" s="1" t="s">
        <v>8287</v>
      </c>
      <c r="D179" s="2" t="str">
        <f t="shared" si="2"/>
        <v>http://zfin.org/ZDB-GENE-040901-7</v>
      </c>
      <c r="E179" s="1" t="s">
        <v>8286</v>
      </c>
      <c r="F179" s="1">
        <v>1.42873134358097E-3</v>
      </c>
      <c r="G179" s="1">
        <v>0.37203544673933903</v>
      </c>
      <c r="H179" s="1">
        <v>0.23699999999999999</v>
      </c>
      <c r="I179" s="1">
        <v>0.05</v>
      </c>
      <c r="J179" s="1">
        <v>1</v>
      </c>
    </row>
    <row r="180" spans="1:10" x14ac:dyDescent="0.2">
      <c r="A180" s="1" t="s">
        <v>8285</v>
      </c>
      <c r="B180" s="1" t="s">
        <v>8284</v>
      </c>
      <c r="C180" s="1" t="s">
        <v>8283</v>
      </c>
      <c r="D180" s="2" t="str">
        <f t="shared" si="2"/>
        <v>http://zfin.org/ZDB-GENE-030131-6048</v>
      </c>
      <c r="E180" s="1" t="s">
        <v>8282</v>
      </c>
      <c r="F180" s="3">
        <v>5.4052384813544497E-5</v>
      </c>
      <c r="G180" s="1">
        <v>0.37219269276188499</v>
      </c>
      <c r="H180" s="1">
        <v>0.86</v>
      </c>
      <c r="I180" s="1">
        <v>0.55000000000000004</v>
      </c>
      <c r="J180" s="1">
        <v>1</v>
      </c>
    </row>
    <row r="181" spans="1:10" x14ac:dyDescent="0.2">
      <c r="A181" s="1" t="s">
        <v>451</v>
      </c>
      <c r="B181" s="1" t="s">
        <v>450</v>
      </c>
      <c r="C181" s="1" t="s">
        <v>449</v>
      </c>
      <c r="D181" s="2" t="str">
        <f t="shared" si="2"/>
        <v>http://zfin.org/ZDB-GENE-040426-1615</v>
      </c>
      <c r="E181" s="1" t="s">
        <v>8281</v>
      </c>
      <c r="F181" s="3">
        <v>1.4355464536850399E-6</v>
      </c>
      <c r="G181" s="1">
        <v>0.37239784055305503</v>
      </c>
      <c r="H181" s="1">
        <v>0.94699999999999995</v>
      </c>
      <c r="I181" s="1">
        <v>0.61699999999999999</v>
      </c>
      <c r="J181" s="1">
        <v>1</v>
      </c>
    </row>
    <row r="182" spans="1:10" x14ac:dyDescent="0.2">
      <c r="A182" s="1" t="s">
        <v>8280</v>
      </c>
      <c r="B182" s="1" t="s">
        <v>8279</v>
      </c>
      <c r="C182" s="1" t="s">
        <v>8278</v>
      </c>
      <c r="D182" s="2" t="str">
        <f t="shared" si="2"/>
        <v>http://zfin.org/ZDB-GENE-030131-6619</v>
      </c>
      <c r="E182" s="1" t="s">
        <v>8277</v>
      </c>
      <c r="F182" s="1">
        <v>2.24194678964212E-2</v>
      </c>
      <c r="G182" s="1">
        <v>0.37334358009770802</v>
      </c>
      <c r="H182" s="1">
        <v>0.14000000000000001</v>
      </c>
      <c r="I182" s="1">
        <v>1.7000000000000001E-2</v>
      </c>
      <c r="J182" s="1">
        <v>1</v>
      </c>
    </row>
    <row r="183" spans="1:10" x14ac:dyDescent="0.2">
      <c r="A183" s="1" t="s">
        <v>8276</v>
      </c>
      <c r="B183" s="1" t="s">
        <v>8275</v>
      </c>
      <c r="C183" s="1" t="s">
        <v>8274</v>
      </c>
      <c r="D183" s="2" t="str">
        <f t="shared" si="2"/>
        <v>http://zfin.org/ZDB-GENE-061013-174</v>
      </c>
      <c r="E183" s="1" t="s">
        <v>8273</v>
      </c>
      <c r="F183" s="1">
        <v>1.08366909359296E-3</v>
      </c>
      <c r="G183" s="1">
        <v>0.373865571757938</v>
      </c>
      <c r="H183" s="1">
        <v>0.51800000000000002</v>
      </c>
      <c r="I183" s="1">
        <v>0.217</v>
      </c>
      <c r="J183" s="1">
        <v>1</v>
      </c>
    </row>
    <row r="184" spans="1:10" x14ac:dyDescent="0.2">
      <c r="A184" s="1" t="s">
        <v>8272</v>
      </c>
      <c r="B184" s="1" t="s">
        <v>8271</v>
      </c>
      <c r="C184" s="1" t="s">
        <v>8270</v>
      </c>
      <c r="D184" s="2" t="str">
        <f t="shared" si="2"/>
        <v>http://zfin.org/ZDB-GENE-140303-1</v>
      </c>
      <c r="E184" s="1" t="s">
        <v>8269</v>
      </c>
      <c r="F184" s="3">
        <v>4.4204049569953203E-5</v>
      </c>
      <c r="G184" s="1">
        <v>0.37559496994909902</v>
      </c>
      <c r="H184" s="1">
        <v>0.33300000000000002</v>
      </c>
      <c r="I184" s="1">
        <v>0.05</v>
      </c>
      <c r="J184" s="1">
        <v>1</v>
      </c>
    </row>
    <row r="185" spans="1:10" x14ac:dyDescent="0.2">
      <c r="A185" s="1" t="s">
        <v>8268</v>
      </c>
      <c r="B185" s="1" t="s">
        <v>8267</v>
      </c>
      <c r="C185" s="1" t="s">
        <v>8266</v>
      </c>
      <c r="D185" s="2" t="str">
        <f t="shared" si="2"/>
        <v>http://zfin.org/ZDB-GENE-040426-1369</v>
      </c>
      <c r="E185" s="1" t="s">
        <v>8265</v>
      </c>
      <c r="F185" s="1">
        <v>5.3966152378706698E-4</v>
      </c>
      <c r="G185" s="1">
        <v>0.375640705823235</v>
      </c>
      <c r="H185" s="1">
        <v>0.439</v>
      </c>
      <c r="I185" s="1">
        <v>0.16700000000000001</v>
      </c>
      <c r="J185" s="1">
        <v>1</v>
      </c>
    </row>
    <row r="186" spans="1:10" x14ac:dyDescent="0.2">
      <c r="A186" s="1" t="s">
        <v>8264</v>
      </c>
      <c r="B186" s="1" t="s">
        <v>8263</v>
      </c>
      <c r="C186" s="1" t="s">
        <v>8262</v>
      </c>
      <c r="D186" s="2" t="str">
        <f t="shared" si="2"/>
        <v>http://zfin.org/ZDB-GENE-990415-50</v>
      </c>
      <c r="E186" s="1" t="s">
        <v>8261</v>
      </c>
      <c r="F186" s="1">
        <v>4.4221839396779497E-2</v>
      </c>
      <c r="G186" s="1">
        <v>0.37586693170616098</v>
      </c>
      <c r="H186" s="1">
        <v>0.34200000000000003</v>
      </c>
      <c r="I186" s="1">
        <v>0.16700000000000001</v>
      </c>
      <c r="J186" s="1">
        <v>1</v>
      </c>
    </row>
    <row r="187" spans="1:10" x14ac:dyDescent="0.2">
      <c r="A187" s="1" t="s">
        <v>8260</v>
      </c>
      <c r="B187" s="1" t="s">
        <v>8259</v>
      </c>
      <c r="C187" s="1" t="s">
        <v>8258</v>
      </c>
      <c r="D187" s="2" t="str">
        <f t="shared" si="2"/>
        <v>http://zfin.org/ZDB-GENE-040426-2898</v>
      </c>
      <c r="E187" s="1" t="s">
        <v>8257</v>
      </c>
      <c r="F187" s="1">
        <v>3.3755915029674399E-4</v>
      </c>
      <c r="G187" s="1">
        <v>0.37689900267528498</v>
      </c>
      <c r="H187" s="1">
        <v>0.82499999999999996</v>
      </c>
      <c r="I187" s="1">
        <v>0.55000000000000004</v>
      </c>
      <c r="J187" s="1">
        <v>1</v>
      </c>
    </row>
    <row r="188" spans="1:10" x14ac:dyDescent="0.2">
      <c r="A188" s="1" t="s">
        <v>8256</v>
      </c>
      <c r="B188" s="1" t="s">
        <v>8255</v>
      </c>
      <c r="C188" s="1" t="s">
        <v>8254</v>
      </c>
      <c r="D188" s="2" t="str">
        <f t="shared" si="2"/>
        <v>http://zfin.org/ZDB-GENE-041212-59</v>
      </c>
      <c r="E188" s="1" t="s">
        <v>8253</v>
      </c>
      <c r="F188" s="3">
        <v>9.8372846760687703E-5</v>
      </c>
      <c r="G188" s="1">
        <v>0.37918485411083602</v>
      </c>
      <c r="H188" s="1">
        <v>0.33300000000000002</v>
      </c>
      <c r="I188" s="1">
        <v>0.05</v>
      </c>
      <c r="J188" s="1">
        <v>1</v>
      </c>
    </row>
    <row r="189" spans="1:10" x14ac:dyDescent="0.2">
      <c r="A189" s="1" t="s">
        <v>527</v>
      </c>
      <c r="B189" s="1" t="s">
        <v>526</v>
      </c>
      <c r="C189" s="1" t="s">
        <v>525</v>
      </c>
      <c r="D189" s="2" t="str">
        <f t="shared" si="2"/>
        <v>http://zfin.org/ZDB-GENE-001212-8</v>
      </c>
      <c r="E189" s="1" t="s">
        <v>8252</v>
      </c>
      <c r="F189" s="3">
        <v>8.5329976618826807E-5</v>
      </c>
      <c r="G189" s="1">
        <v>0.379539791816768</v>
      </c>
      <c r="H189" s="1">
        <v>0.83299999999999996</v>
      </c>
      <c r="I189" s="1">
        <v>0.5</v>
      </c>
      <c r="J189" s="1">
        <v>1</v>
      </c>
    </row>
    <row r="190" spans="1:10" x14ac:dyDescent="0.2">
      <c r="A190" s="1" t="s">
        <v>1377</v>
      </c>
      <c r="B190" s="1" t="s">
        <v>8251</v>
      </c>
      <c r="D190" s="2" t="str">
        <f t="shared" si="2"/>
        <v>http://zfin.org/</v>
      </c>
      <c r="E190" s="1" t="s">
        <v>4625</v>
      </c>
      <c r="F190" s="1">
        <v>2.4411927750651299E-4</v>
      </c>
      <c r="G190" s="1">
        <v>0.379593043156503</v>
      </c>
      <c r="H190" s="1">
        <v>0.26300000000000001</v>
      </c>
      <c r="I190" s="1">
        <v>1.7000000000000001E-2</v>
      </c>
      <c r="J190" s="1">
        <v>1</v>
      </c>
    </row>
    <row r="191" spans="1:10" x14ac:dyDescent="0.2">
      <c r="A191" s="1" t="s">
        <v>8250</v>
      </c>
      <c r="B191" s="1" t="s">
        <v>8249</v>
      </c>
      <c r="C191" s="1" t="s">
        <v>8248</v>
      </c>
      <c r="D191" s="2" t="str">
        <f t="shared" si="2"/>
        <v>http://zfin.org/ZDB-GENE-050522-306</v>
      </c>
      <c r="E191" s="1" t="s">
        <v>8247</v>
      </c>
      <c r="F191" s="3">
        <v>4.1223902596265602E-7</v>
      </c>
      <c r="G191" s="1">
        <v>0.37994079655328999</v>
      </c>
      <c r="H191" s="1">
        <v>0.316</v>
      </c>
      <c r="I191" s="1">
        <v>3.3000000000000002E-2</v>
      </c>
      <c r="J191" s="1">
        <v>1</v>
      </c>
    </row>
    <row r="192" spans="1:10" x14ac:dyDescent="0.2">
      <c r="A192" s="1" t="s">
        <v>8246</v>
      </c>
      <c r="B192" s="1" t="s">
        <v>8245</v>
      </c>
      <c r="C192" s="1" t="s">
        <v>8244</v>
      </c>
      <c r="D192" s="2" t="str">
        <f t="shared" si="2"/>
        <v>http://zfin.org/ZDB-GENE-040426-1040</v>
      </c>
      <c r="E192" s="1" t="s">
        <v>8243</v>
      </c>
      <c r="F192" s="3">
        <v>6.3770976377429801E-6</v>
      </c>
      <c r="G192" s="1">
        <v>0.38026901746903602</v>
      </c>
      <c r="H192" s="1">
        <v>0.254</v>
      </c>
      <c r="I192" s="1">
        <v>3.3000000000000002E-2</v>
      </c>
      <c r="J192" s="1">
        <v>1</v>
      </c>
    </row>
    <row r="193" spans="1:10" x14ac:dyDescent="0.2">
      <c r="A193" s="1" t="s">
        <v>573</v>
      </c>
      <c r="B193" s="1" t="s">
        <v>572</v>
      </c>
      <c r="C193" s="1" t="s">
        <v>571</v>
      </c>
      <c r="D193" s="2" t="str">
        <f t="shared" si="2"/>
        <v>http://zfin.org/ZDB-GENE-040426-833</v>
      </c>
      <c r="E193" s="1" t="s">
        <v>8242</v>
      </c>
      <c r="F193" s="3">
        <v>1.2658029447879099E-6</v>
      </c>
      <c r="G193" s="1">
        <v>0.380428028861793</v>
      </c>
      <c r="H193" s="1">
        <v>0.93899999999999995</v>
      </c>
      <c r="I193" s="1">
        <v>0.6</v>
      </c>
      <c r="J193" s="1">
        <v>1</v>
      </c>
    </row>
    <row r="194" spans="1:10" x14ac:dyDescent="0.2">
      <c r="A194" s="1" t="s">
        <v>8241</v>
      </c>
      <c r="B194" s="1" t="s">
        <v>8240</v>
      </c>
      <c r="C194" s="1" t="s">
        <v>8239</v>
      </c>
      <c r="D194" s="2" t="str">
        <f t="shared" ref="D194:D257" si="3">HYPERLINK(E194)</f>
        <v>http://zfin.org/ZDB-GENE-040426-2574</v>
      </c>
      <c r="E194" s="1" t="s">
        <v>8238</v>
      </c>
      <c r="F194" s="1">
        <v>5.6468128382911205E-4</v>
      </c>
      <c r="G194" s="1">
        <v>0.38053165980128301</v>
      </c>
      <c r="H194" s="1">
        <v>0.78100000000000003</v>
      </c>
      <c r="I194" s="1">
        <v>0.48299999999999998</v>
      </c>
      <c r="J194" s="1">
        <v>1</v>
      </c>
    </row>
    <row r="195" spans="1:10" x14ac:dyDescent="0.2">
      <c r="A195" s="1" t="s">
        <v>8237</v>
      </c>
      <c r="B195" s="1" t="s">
        <v>8236</v>
      </c>
      <c r="C195" s="1" t="s">
        <v>8235</v>
      </c>
      <c r="D195" s="2" t="str">
        <f t="shared" si="3"/>
        <v>http://zfin.org/ZDB-GENE-040801-240</v>
      </c>
      <c r="E195" s="1" t="s">
        <v>8234</v>
      </c>
      <c r="F195" s="3">
        <v>5.0908425542594596E-7</v>
      </c>
      <c r="G195" s="1">
        <v>0.38061100757647498</v>
      </c>
      <c r="H195" s="1">
        <v>0.35099999999999998</v>
      </c>
      <c r="I195" s="1">
        <v>3.3000000000000002E-2</v>
      </c>
      <c r="J195" s="1">
        <v>1</v>
      </c>
    </row>
    <row r="196" spans="1:10" x14ac:dyDescent="0.2">
      <c r="A196" s="1" t="s">
        <v>8233</v>
      </c>
      <c r="B196" s="1" t="s">
        <v>8232</v>
      </c>
      <c r="C196" s="1" t="s">
        <v>8231</v>
      </c>
      <c r="D196" s="2" t="str">
        <f t="shared" si="3"/>
        <v>http://zfin.org/ZDB-GENE-061013-507</v>
      </c>
      <c r="E196" s="1" t="s">
        <v>8230</v>
      </c>
      <c r="F196" s="3">
        <v>1.3176581362213299E-7</v>
      </c>
      <c r="G196" s="1">
        <v>0.38129448744559402</v>
      </c>
      <c r="H196" s="1">
        <v>0.38600000000000001</v>
      </c>
      <c r="I196" s="1">
        <v>0.05</v>
      </c>
      <c r="J196" s="1">
        <v>1</v>
      </c>
    </row>
    <row r="197" spans="1:10" x14ac:dyDescent="0.2">
      <c r="A197" s="1" t="s">
        <v>8229</v>
      </c>
      <c r="B197" s="1" t="s">
        <v>8228</v>
      </c>
      <c r="C197" s="1" t="s">
        <v>8227</v>
      </c>
      <c r="D197" s="2" t="str">
        <f t="shared" si="3"/>
        <v>http://zfin.org/ZDB-GENE-070705-199</v>
      </c>
      <c r="E197" s="1" t="s">
        <v>8226</v>
      </c>
      <c r="F197" s="1">
        <v>5.7304821488422496E-3</v>
      </c>
      <c r="G197" s="1">
        <v>0.38215946962754999</v>
      </c>
      <c r="H197" s="1">
        <v>0.377</v>
      </c>
      <c r="I197" s="1">
        <v>0.13300000000000001</v>
      </c>
      <c r="J197" s="1">
        <v>1</v>
      </c>
    </row>
    <row r="198" spans="1:10" x14ac:dyDescent="0.2">
      <c r="A198" s="1" t="s">
        <v>1771</v>
      </c>
      <c r="B198" s="1" t="s">
        <v>1770</v>
      </c>
      <c r="C198" s="1" t="s">
        <v>1769</v>
      </c>
      <c r="D198" s="2" t="str">
        <f t="shared" si="3"/>
        <v>http://zfin.org/ZDB-GENE-030131-7626</v>
      </c>
      <c r="E198" s="1" t="s">
        <v>8225</v>
      </c>
      <c r="F198" s="1">
        <v>9.5180908209146304E-4</v>
      </c>
      <c r="G198" s="1">
        <v>0.384878315598775</v>
      </c>
      <c r="H198" s="1">
        <v>0.754</v>
      </c>
      <c r="I198" s="1">
        <v>0.45</v>
      </c>
      <c r="J198" s="1">
        <v>1</v>
      </c>
    </row>
    <row r="199" spans="1:10" x14ac:dyDescent="0.2">
      <c r="A199" s="1" t="s">
        <v>8224</v>
      </c>
      <c r="B199" s="1" t="s">
        <v>8223</v>
      </c>
      <c r="C199" s="1" t="s">
        <v>8222</v>
      </c>
      <c r="D199" s="2" t="str">
        <f t="shared" si="3"/>
        <v>http://zfin.org/ZDB-GENE-050522-174</v>
      </c>
      <c r="E199" s="1" t="s">
        <v>8221</v>
      </c>
      <c r="F199" s="1">
        <v>4.4298636347356101E-4</v>
      </c>
      <c r="G199" s="1">
        <v>0.38529985822248303</v>
      </c>
      <c r="H199" s="1">
        <v>0.79800000000000004</v>
      </c>
      <c r="I199" s="1">
        <v>0.5</v>
      </c>
      <c r="J199" s="1">
        <v>1</v>
      </c>
    </row>
    <row r="200" spans="1:10" x14ac:dyDescent="0.2">
      <c r="A200" s="1" t="s">
        <v>8220</v>
      </c>
      <c r="B200" s="1" t="s">
        <v>8219</v>
      </c>
      <c r="C200" s="1" t="s">
        <v>8218</v>
      </c>
      <c r="D200" s="2" t="str">
        <f t="shared" si="3"/>
        <v>http://zfin.org/ZDB-GENE-070705-485</v>
      </c>
      <c r="E200" s="1" t="s">
        <v>8217</v>
      </c>
      <c r="F200" s="1">
        <v>3.0249481081112699E-3</v>
      </c>
      <c r="G200" s="1">
        <v>0.38551154292967998</v>
      </c>
      <c r="H200" s="1">
        <v>0.45600000000000002</v>
      </c>
      <c r="I200" s="1">
        <v>0.2</v>
      </c>
      <c r="J200" s="1">
        <v>1</v>
      </c>
    </row>
    <row r="201" spans="1:10" x14ac:dyDescent="0.2">
      <c r="A201" s="1" t="s">
        <v>8216</v>
      </c>
      <c r="B201" s="1" t="s">
        <v>8215</v>
      </c>
      <c r="C201" s="1" t="s">
        <v>8214</v>
      </c>
      <c r="D201" s="2" t="str">
        <f t="shared" si="3"/>
        <v>http://zfin.org/ZDB-GENE-020103-2</v>
      </c>
      <c r="E201" s="1" t="s">
        <v>8213</v>
      </c>
      <c r="F201" s="1">
        <v>2.1949188018662E-2</v>
      </c>
      <c r="G201" s="1">
        <v>0.38635157286921001</v>
      </c>
      <c r="H201" s="1">
        <v>0.46500000000000002</v>
      </c>
      <c r="I201" s="1">
        <v>0.317</v>
      </c>
      <c r="J201" s="1">
        <v>1</v>
      </c>
    </row>
    <row r="202" spans="1:10" x14ac:dyDescent="0.2">
      <c r="A202" s="1" t="s">
        <v>338</v>
      </c>
      <c r="B202" s="1" t="s">
        <v>337</v>
      </c>
      <c r="C202" s="1" t="s">
        <v>336</v>
      </c>
      <c r="D202" s="2" t="str">
        <f t="shared" si="3"/>
        <v>http://zfin.org/ZDB-GENE-060503-339</v>
      </c>
      <c r="E202" s="1" t="s">
        <v>8212</v>
      </c>
      <c r="F202" s="3">
        <v>2.81379823956715E-5</v>
      </c>
      <c r="G202" s="1">
        <v>0.38794606600627901</v>
      </c>
      <c r="H202" s="1">
        <v>0.56100000000000005</v>
      </c>
      <c r="I202" s="1">
        <v>0.2</v>
      </c>
      <c r="J202" s="1">
        <v>1</v>
      </c>
    </row>
    <row r="203" spans="1:10" x14ac:dyDescent="0.2">
      <c r="A203" s="1" t="s">
        <v>8211</v>
      </c>
      <c r="B203" s="1" t="s">
        <v>8210</v>
      </c>
      <c r="C203" s="1" t="s">
        <v>8209</v>
      </c>
      <c r="D203" s="2" t="str">
        <f t="shared" si="3"/>
        <v>http://zfin.org/ZDB-GENE-040426-1087</v>
      </c>
      <c r="E203" s="1" t="s">
        <v>8208</v>
      </c>
      <c r="F203" s="3">
        <v>6.2903235190596006E-5</v>
      </c>
      <c r="G203" s="1">
        <v>0.38836955498077702</v>
      </c>
      <c r="H203" s="1">
        <v>0.90400000000000003</v>
      </c>
      <c r="I203" s="1">
        <v>0.63300000000000001</v>
      </c>
      <c r="J203" s="1">
        <v>1</v>
      </c>
    </row>
    <row r="204" spans="1:10" x14ac:dyDescent="0.2">
      <c r="A204" s="1" t="s">
        <v>8207</v>
      </c>
      <c r="B204" s="1" t="s">
        <v>8206</v>
      </c>
      <c r="C204" s="1" t="s">
        <v>8205</v>
      </c>
      <c r="D204" s="2" t="str">
        <f t="shared" si="3"/>
        <v>http://zfin.org/ZDB-GENE-050809-90</v>
      </c>
      <c r="E204" s="1" t="s">
        <v>8204</v>
      </c>
      <c r="F204" s="3">
        <v>4.63631478854503E-6</v>
      </c>
      <c r="G204" s="1">
        <v>0.38837993714722802</v>
      </c>
      <c r="H204" s="1">
        <v>0.254</v>
      </c>
      <c r="I204" s="1">
        <v>0</v>
      </c>
      <c r="J204" s="1">
        <v>1</v>
      </c>
    </row>
    <row r="205" spans="1:10" x14ac:dyDescent="0.2">
      <c r="A205" s="1" t="s">
        <v>8203</v>
      </c>
      <c r="B205" s="1" t="s">
        <v>8202</v>
      </c>
      <c r="C205" s="1" t="s">
        <v>8201</v>
      </c>
      <c r="D205" s="2" t="str">
        <f t="shared" si="3"/>
        <v>http://zfin.org/ZDB-GENE-991026-5</v>
      </c>
      <c r="E205" s="1" t="s">
        <v>8200</v>
      </c>
      <c r="F205" s="3">
        <v>1.1290414131140099E-7</v>
      </c>
      <c r="G205" s="1">
        <v>0.38854911175969098</v>
      </c>
      <c r="H205" s="1">
        <v>0.38600000000000001</v>
      </c>
      <c r="I205" s="1">
        <v>0.05</v>
      </c>
      <c r="J205" s="1">
        <v>1</v>
      </c>
    </row>
    <row r="206" spans="1:10" x14ac:dyDescent="0.2">
      <c r="A206" s="1" t="s">
        <v>8199</v>
      </c>
      <c r="B206" s="1" t="s">
        <v>8198</v>
      </c>
      <c r="C206" s="1" t="s">
        <v>8197</v>
      </c>
      <c r="D206" s="2" t="str">
        <f t="shared" si="3"/>
        <v>http://zfin.org/ZDB-GENE-030616-5</v>
      </c>
      <c r="E206" s="1" t="s">
        <v>8196</v>
      </c>
      <c r="F206" s="1">
        <v>3.4941252401697498E-3</v>
      </c>
      <c r="G206" s="1">
        <v>0.389549097927193</v>
      </c>
      <c r="H206" s="1">
        <v>0.21099999999999999</v>
      </c>
      <c r="I206" s="1">
        <v>0.05</v>
      </c>
      <c r="J206" s="1">
        <v>1</v>
      </c>
    </row>
    <row r="207" spans="1:10" x14ac:dyDescent="0.2">
      <c r="A207" s="1" t="s">
        <v>8195</v>
      </c>
      <c r="B207" s="1" t="s">
        <v>8194</v>
      </c>
      <c r="C207" s="1" t="s">
        <v>8193</v>
      </c>
      <c r="D207" s="2" t="str">
        <f t="shared" si="3"/>
        <v>http://zfin.org/ZDB-GENE-080219-7</v>
      </c>
      <c r="E207" s="1" t="s">
        <v>8192</v>
      </c>
      <c r="F207" s="3">
        <v>9.16910448122541E-5</v>
      </c>
      <c r="G207" s="1">
        <v>0.38973718351825598</v>
      </c>
      <c r="H207" s="1">
        <v>0.36</v>
      </c>
      <c r="I207" s="1">
        <v>6.7000000000000004E-2</v>
      </c>
      <c r="J207" s="1">
        <v>1</v>
      </c>
    </row>
    <row r="208" spans="1:10" x14ac:dyDescent="0.2">
      <c r="A208" s="1" t="s">
        <v>8191</v>
      </c>
      <c r="B208" s="1" t="s">
        <v>8190</v>
      </c>
      <c r="C208" s="1" t="s">
        <v>8189</v>
      </c>
      <c r="D208" s="2" t="str">
        <f t="shared" si="3"/>
        <v>http://zfin.org/ZDB-GENE-060825-160</v>
      </c>
      <c r="E208" s="1" t="s">
        <v>8188</v>
      </c>
      <c r="F208" s="3">
        <v>2.1639714875697098E-5</v>
      </c>
      <c r="G208" s="1">
        <v>0.38984144752356498</v>
      </c>
      <c r="H208" s="1">
        <v>0.96499999999999997</v>
      </c>
      <c r="I208" s="1">
        <v>0.73299999999999998</v>
      </c>
      <c r="J208" s="1">
        <v>1</v>
      </c>
    </row>
    <row r="209" spans="1:10" x14ac:dyDescent="0.2">
      <c r="A209" s="1" t="s">
        <v>8187</v>
      </c>
      <c r="B209" s="1" t="s">
        <v>8186</v>
      </c>
      <c r="C209" s="1" t="s">
        <v>8185</v>
      </c>
      <c r="D209" s="2" t="str">
        <f t="shared" si="3"/>
        <v>http://zfin.org/ZDB-GENE-060531-6</v>
      </c>
      <c r="E209" s="1" t="s">
        <v>8184</v>
      </c>
      <c r="F209" s="3">
        <v>5.7260602101832202E-5</v>
      </c>
      <c r="G209" s="1">
        <v>0.39021899634608997</v>
      </c>
      <c r="H209" s="1">
        <v>0.21099999999999999</v>
      </c>
      <c r="I209" s="1">
        <v>0</v>
      </c>
      <c r="J209" s="1">
        <v>1</v>
      </c>
    </row>
    <row r="210" spans="1:10" x14ac:dyDescent="0.2">
      <c r="A210" s="1" t="s">
        <v>8183</v>
      </c>
      <c r="B210" s="1" t="s">
        <v>8182</v>
      </c>
      <c r="C210" s="1" t="s">
        <v>8181</v>
      </c>
      <c r="D210" s="2" t="str">
        <f t="shared" si="3"/>
        <v>http://zfin.org/ZDB-GENE-110609-2</v>
      </c>
      <c r="E210" s="1" t="s">
        <v>8180</v>
      </c>
      <c r="F210" s="1">
        <v>2.8806243074909299E-3</v>
      </c>
      <c r="G210" s="1">
        <v>0.390442833953213</v>
      </c>
      <c r="H210" s="1">
        <v>0.21099999999999999</v>
      </c>
      <c r="I210" s="1">
        <v>1.7000000000000001E-2</v>
      </c>
      <c r="J210" s="1">
        <v>1</v>
      </c>
    </row>
    <row r="211" spans="1:10" x14ac:dyDescent="0.2">
      <c r="A211" s="1" t="s">
        <v>490</v>
      </c>
      <c r="B211" s="1" t="s">
        <v>489</v>
      </c>
      <c r="C211" s="1" t="s">
        <v>488</v>
      </c>
      <c r="D211" s="2" t="str">
        <f t="shared" si="3"/>
        <v>http://zfin.org/ZDB-GENE-070912-70</v>
      </c>
      <c r="E211" s="1" t="s">
        <v>8179</v>
      </c>
      <c r="F211" s="3">
        <v>2.2381889608576901E-6</v>
      </c>
      <c r="G211" s="1">
        <v>0.39082407572424499</v>
      </c>
      <c r="H211" s="1">
        <v>0.71099999999999997</v>
      </c>
      <c r="I211" s="1">
        <v>0.3</v>
      </c>
      <c r="J211" s="1">
        <v>1</v>
      </c>
    </row>
    <row r="212" spans="1:10" x14ac:dyDescent="0.2">
      <c r="A212" s="1" t="s">
        <v>8178</v>
      </c>
      <c r="B212" s="1" t="s">
        <v>8177</v>
      </c>
      <c r="C212" s="1" t="s">
        <v>8176</v>
      </c>
      <c r="D212" s="2" t="str">
        <f t="shared" si="3"/>
        <v>http://zfin.org/ZDB-GENE-050208-447</v>
      </c>
      <c r="E212" s="1" t="s">
        <v>8175</v>
      </c>
      <c r="F212" s="1">
        <v>1.12254999905193E-3</v>
      </c>
      <c r="G212" s="1">
        <v>0.39161442008820802</v>
      </c>
      <c r="H212" s="1">
        <v>0.22800000000000001</v>
      </c>
      <c r="I212" s="1">
        <v>1.7000000000000001E-2</v>
      </c>
      <c r="J212" s="1">
        <v>1</v>
      </c>
    </row>
    <row r="213" spans="1:10" x14ac:dyDescent="0.2">
      <c r="A213" s="1" t="s">
        <v>8174</v>
      </c>
      <c r="B213" s="1" t="s">
        <v>8173</v>
      </c>
      <c r="C213" s="1" t="s">
        <v>8172</v>
      </c>
      <c r="D213" s="2" t="str">
        <f t="shared" si="3"/>
        <v>http://zfin.org/ZDB-GENE-081104-299</v>
      </c>
      <c r="E213" s="1" t="s">
        <v>8171</v>
      </c>
      <c r="F213" s="1">
        <v>6.2286732608937895E-4</v>
      </c>
      <c r="G213" s="1">
        <v>0.39200571831705899</v>
      </c>
      <c r="H213" s="1">
        <v>0.28899999999999998</v>
      </c>
      <c r="I213" s="1">
        <v>0.05</v>
      </c>
      <c r="J213" s="1">
        <v>1</v>
      </c>
    </row>
    <row r="214" spans="1:10" x14ac:dyDescent="0.2">
      <c r="A214" s="1" t="s">
        <v>8170</v>
      </c>
      <c r="B214" s="1" t="s">
        <v>8169</v>
      </c>
      <c r="C214" s="1" t="s">
        <v>8168</v>
      </c>
      <c r="D214" s="2" t="str">
        <f t="shared" si="3"/>
        <v>http://zfin.org/ZDB-GENE-060929-780</v>
      </c>
      <c r="E214" s="1" t="s">
        <v>8167</v>
      </c>
      <c r="F214" s="1">
        <v>7.6255745491903102E-4</v>
      </c>
      <c r="G214" s="1">
        <v>0.39311013687942298</v>
      </c>
      <c r="H214" s="1">
        <v>0.47399999999999998</v>
      </c>
      <c r="I214" s="1">
        <v>0.2</v>
      </c>
      <c r="J214" s="1">
        <v>1</v>
      </c>
    </row>
    <row r="215" spans="1:10" x14ac:dyDescent="0.2">
      <c r="A215" s="1" t="s">
        <v>8166</v>
      </c>
      <c r="B215" s="1" t="s">
        <v>8165</v>
      </c>
      <c r="C215" s="1" t="s">
        <v>8164</v>
      </c>
      <c r="D215" s="2" t="str">
        <f t="shared" si="3"/>
        <v>http://zfin.org/ZDB-GENE-090312-63</v>
      </c>
      <c r="E215" s="1" t="s">
        <v>8163</v>
      </c>
      <c r="F215" s="1">
        <v>2.5008751739267701E-4</v>
      </c>
      <c r="G215" s="1">
        <v>0.39430658252145501</v>
      </c>
      <c r="H215" s="1">
        <v>0.60499999999999998</v>
      </c>
      <c r="I215" s="1">
        <v>0.26700000000000002</v>
      </c>
      <c r="J215" s="1">
        <v>1</v>
      </c>
    </row>
    <row r="216" spans="1:10" x14ac:dyDescent="0.2">
      <c r="A216" s="1" t="s">
        <v>8162</v>
      </c>
      <c r="B216" s="1" t="s">
        <v>8161</v>
      </c>
      <c r="C216" s="1" t="s">
        <v>8160</v>
      </c>
      <c r="D216" s="2" t="str">
        <f t="shared" si="3"/>
        <v>http://zfin.org/ZDB-GENE-060306-2</v>
      </c>
      <c r="E216" s="1" t="s">
        <v>8159</v>
      </c>
      <c r="F216" s="1">
        <v>1.19558553761312E-4</v>
      </c>
      <c r="G216" s="1">
        <v>0.39536517799695398</v>
      </c>
      <c r="H216" s="1">
        <v>0.27200000000000002</v>
      </c>
      <c r="I216" s="1">
        <v>1.7000000000000001E-2</v>
      </c>
      <c r="J216" s="1">
        <v>1</v>
      </c>
    </row>
    <row r="217" spans="1:10" x14ac:dyDescent="0.2">
      <c r="A217" s="1" t="s">
        <v>8158</v>
      </c>
      <c r="B217" s="1" t="s">
        <v>8157</v>
      </c>
      <c r="C217" s="1" t="s">
        <v>8156</v>
      </c>
      <c r="D217" s="2" t="str">
        <f t="shared" si="3"/>
        <v>http://zfin.org/ZDB-GENE-040801-136</v>
      </c>
      <c r="E217" s="1" t="s">
        <v>8155</v>
      </c>
      <c r="F217" s="1">
        <v>1.6161882936846701E-3</v>
      </c>
      <c r="G217" s="1">
        <v>0.39668094603807402</v>
      </c>
      <c r="H217" s="1">
        <v>0.439</v>
      </c>
      <c r="I217" s="1">
        <v>0.183</v>
      </c>
      <c r="J217" s="1">
        <v>1</v>
      </c>
    </row>
    <row r="218" spans="1:10" x14ac:dyDescent="0.2">
      <c r="A218" s="1" t="s">
        <v>8154</v>
      </c>
      <c r="B218" s="1" t="s">
        <v>8153</v>
      </c>
      <c r="C218" s="1" t="s">
        <v>8152</v>
      </c>
      <c r="D218" s="2" t="str">
        <f t="shared" si="3"/>
        <v>http://zfin.org/ZDB-GENE-040718-28</v>
      </c>
      <c r="E218" s="1" t="s">
        <v>8151</v>
      </c>
      <c r="F218" s="1">
        <v>4.4147008538185698E-4</v>
      </c>
      <c r="G218" s="1">
        <v>0.39671357041028599</v>
      </c>
      <c r="H218" s="1">
        <v>0.43</v>
      </c>
      <c r="I218" s="1">
        <v>0.15</v>
      </c>
      <c r="J218" s="1">
        <v>1</v>
      </c>
    </row>
    <row r="219" spans="1:10" x14ac:dyDescent="0.2">
      <c r="A219" s="1" t="s">
        <v>454</v>
      </c>
      <c r="B219" s="1" t="s">
        <v>453</v>
      </c>
      <c r="C219" s="1" t="s">
        <v>452</v>
      </c>
      <c r="D219" s="2" t="str">
        <f t="shared" si="3"/>
        <v>http://zfin.org/ZDB-GENE-070410-98</v>
      </c>
      <c r="E219" s="1" t="s">
        <v>8150</v>
      </c>
      <c r="F219" s="3">
        <v>3.7896580509737601E-6</v>
      </c>
      <c r="G219" s="1">
        <v>0.39864185948925301</v>
      </c>
      <c r="H219" s="1">
        <v>0.73699999999999999</v>
      </c>
      <c r="I219" s="1">
        <v>0.33300000000000002</v>
      </c>
      <c r="J219" s="1">
        <v>1</v>
      </c>
    </row>
    <row r="220" spans="1:10" x14ac:dyDescent="0.2">
      <c r="A220" s="1" t="s">
        <v>484</v>
      </c>
      <c r="B220" s="1" t="s">
        <v>483</v>
      </c>
      <c r="C220" s="1" t="s">
        <v>482</v>
      </c>
      <c r="D220" s="2" t="str">
        <f t="shared" si="3"/>
        <v>http://zfin.org/ZDB-GENE-110406-5</v>
      </c>
      <c r="E220" s="1" t="s">
        <v>8149</v>
      </c>
      <c r="F220" s="3">
        <v>6.5682326760082403E-21</v>
      </c>
      <c r="G220" s="1">
        <v>0.39899917161357601</v>
      </c>
      <c r="H220" s="1">
        <v>1</v>
      </c>
      <c r="I220" s="1">
        <v>0.81699999999999995</v>
      </c>
      <c r="J220" s="1">
        <v>1</v>
      </c>
    </row>
    <row r="221" spans="1:10" x14ac:dyDescent="0.2">
      <c r="A221" s="1" t="s">
        <v>3940</v>
      </c>
      <c r="B221" s="1" t="s">
        <v>3939</v>
      </c>
      <c r="C221" s="1" t="s">
        <v>3938</v>
      </c>
      <c r="D221" s="2" t="str">
        <f t="shared" si="3"/>
        <v>http://zfin.org/ZDB-GENE-070705-255</v>
      </c>
      <c r="E221" s="1" t="s">
        <v>8148</v>
      </c>
      <c r="F221" s="1">
        <v>1.3269595326790101E-4</v>
      </c>
      <c r="G221" s="1">
        <v>0.39956474531223801</v>
      </c>
      <c r="H221" s="1">
        <v>0.76300000000000001</v>
      </c>
      <c r="I221" s="1">
        <v>0.41699999999999998</v>
      </c>
      <c r="J221" s="1">
        <v>1</v>
      </c>
    </row>
    <row r="222" spans="1:10" x14ac:dyDescent="0.2">
      <c r="A222" s="1" t="s">
        <v>608</v>
      </c>
      <c r="B222" s="1" t="s">
        <v>607</v>
      </c>
      <c r="C222" s="1" t="s">
        <v>606</v>
      </c>
      <c r="D222" s="2" t="str">
        <f t="shared" si="3"/>
        <v>http://zfin.org/ZDB-GENE-060526-262</v>
      </c>
      <c r="E222" s="1" t="s">
        <v>8147</v>
      </c>
      <c r="F222" s="3">
        <v>1.3188825512285601E-7</v>
      </c>
      <c r="G222" s="1">
        <v>0.402374946142112</v>
      </c>
      <c r="H222" s="1">
        <v>0.90400000000000003</v>
      </c>
      <c r="I222" s="1">
        <v>0.5</v>
      </c>
      <c r="J222" s="1">
        <v>1</v>
      </c>
    </row>
    <row r="223" spans="1:10" x14ac:dyDescent="0.2">
      <c r="A223" s="1" t="s">
        <v>8146</v>
      </c>
      <c r="B223" s="1" t="s">
        <v>8145</v>
      </c>
      <c r="C223" s="1" t="s">
        <v>8144</v>
      </c>
      <c r="D223" s="2" t="str">
        <f t="shared" si="3"/>
        <v>http://zfin.org/ZDB-GENE-040426-2166</v>
      </c>
      <c r="E223" s="1" t="s">
        <v>8143</v>
      </c>
      <c r="F223" s="3">
        <v>2.9799918758795101E-5</v>
      </c>
      <c r="G223" s="1">
        <v>0.40365926711864097</v>
      </c>
      <c r="H223" s="1">
        <v>0.91200000000000003</v>
      </c>
      <c r="I223" s="1">
        <v>0.63300000000000001</v>
      </c>
      <c r="J223" s="1">
        <v>1</v>
      </c>
    </row>
    <row r="224" spans="1:10" x14ac:dyDescent="0.2">
      <c r="A224" s="1" t="s">
        <v>8142</v>
      </c>
      <c r="B224" s="1" t="s">
        <v>8141</v>
      </c>
      <c r="C224" s="1" t="s">
        <v>8140</v>
      </c>
      <c r="D224" s="2" t="str">
        <f t="shared" si="3"/>
        <v>http://zfin.org/ZDB-GENE-030131-5007</v>
      </c>
      <c r="E224" s="1" t="s">
        <v>8139</v>
      </c>
      <c r="F224" s="3">
        <v>1.12616320055394E-7</v>
      </c>
      <c r="G224" s="1">
        <v>0.406413362943082</v>
      </c>
      <c r="H224" s="1">
        <v>0.47399999999999998</v>
      </c>
      <c r="I224" s="1">
        <v>0.1</v>
      </c>
      <c r="J224" s="1">
        <v>1</v>
      </c>
    </row>
    <row r="225" spans="1:10" x14ac:dyDescent="0.2">
      <c r="A225" s="1" t="s">
        <v>8138</v>
      </c>
      <c r="B225" s="1" t="s">
        <v>8137</v>
      </c>
      <c r="C225" s="1" t="s">
        <v>8136</v>
      </c>
      <c r="D225" s="2" t="str">
        <f t="shared" si="3"/>
        <v>http://zfin.org/</v>
      </c>
      <c r="E225" s="1" t="s">
        <v>4625</v>
      </c>
      <c r="F225" s="1">
        <v>2.3094404027288601E-2</v>
      </c>
      <c r="G225" s="1">
        <v>0.407468684121501</v>
      </c>
      <c r="H225" s="1">
        <v>0.158</v>
      </c>
      <c r="I225" s="1">
        <v>1.7000000000000001E-2</v>
      </c>
      <c r="J225" s="1">
        <v>1</v>
      </c>
    </row>
    <row r="226" spans="1:10" x14ac:dyDescent="0.2">
      <c r="A226" s="1" t="s">
        <v>8135</v>
      </c>
      <c r="B226" s="1" t="s">
        <v>8134</v>
      </c>
      <c r="C226" s="1" t="s">
        <v>8133</v>
      </c>
      <c r="D226" s="2" t="str">
        <f t="shared" si="3"/>
        <v>http://zfin.org/ZDB-GENE-050522-135</v>
      </c>
      <c r="E226" s="1" t="s">
        <v>8132</v>
      </c>
      <c r="F226" s="1">
        <v>1.07706834999254E-4</v>
      </c>
      <c r="G226" s="1">
        <v>0.413398555255518</v>
      </c>
      <c r="H226" s="1">
        <v>0.439</v>
      </c>
      <c r="I226" s="1">
        <v>0.11700000000000001</v>
      </c>
      <c r="J226" s="1">
        <v>1</v>
      </c>
    </row>
    <row r="227" spans="1:10" x14ac:dyDescent="0.2">
      <c r="A227" s="1" t="s">
        <v>8131</v>
      </c>
      <c r="B227" s="1" t="s">
        <v>8130</v>
      </c>
      <c r="C227" s="1" t="s">
        <v>8129</v>
      </c>
      <c r="D227" s="2" t="str">
        <f t="shared" si="3"/>
        <v>http://zfin.org/ZDB-GENE-030131-2299</v>
      </c>
      <c r="E227" s="1" t="s">
        <v>8128</v>
      </c>
      <c r="F227" s="1">
        <v>2.8763031131862098E-4</v>
      </c>
      <c r="G227" s="1">
        <v>0.41415772607033102</v>
      </c>
      <c r="H227" s="1">
        <v>0.48199999999999998</v>
      </c>
      <c r="I227" s="1">
        <v>0.217</v>
      </c>
      <c r="J227" s="1">
        <v>1</v>
      </c>
    </row>
    <row r="228" spans="1:10" x14ac:dyDescent="0.2">
      <c r="A228" s="1" t="s">
        <v>445</v>
      </c>
      <c r="B228" s="1" t="s">
        <v>444</v>
      </c>
      <c r="C228" s="1" t="s">
        <v>443</v>
      </c>
      <c r="D228" s="2" t="str">
        <f t="shared" si="3"/>
        <v>http://zfin.org/ZDB-GENE-070820-17</v>
      </c>
      <c r="E228" s="1" t="s">
        <v>8127</v>
      </c>
      <c r="F228" s="3">
        <v>2.2419593508338999E-8</v>
      </c>
      <c r="G228" s="1">
        <v>0.41565069615757999</v>
      </c>
      <c r="H228" s="1">
        <v>0.746</v>
      </c>
      <c r="I228" s="1">
        <v>0.3</v>
      </c>
      <c r="J228" s="1">
        <v>1</v>
      </c>
    </row>
    <row r="229" spans="1:10" x14ac:dyDescent="0.2">
      <c r="A229" s="1" t="s">
        <v>2678</v>
      </c>
      <c r="B229" s="1" t="s">
        <v>2677</v>
      </c>
      <c r="C229" s="1" t="s">
        <v>2676</v>
      </c>
      <c r="D229" s="2" t="str">
        <f t="shared" si="3"/>
        <v>http://zfin.org/ZDB-GENE-020806-4</v>
      </c>
      <c r="E229" s="1" t="s">
        <v>8126</v>
      </c>
      <c r="F229" s="3">
        <v>2.8676942147113198E-12</v>
      </c>
      <c r="G229" s="1">
        <v>0.418450451073417</v>
      </c>
      <c r="H229" s="1">
        <v>1</v>
      </c>
      <c r="I229" s="1">
        <v>0.96699999999999997</v>
      </c>
      <c r="J229" s="1">
        <v>1</v>
      </c>
    </row>
    <row r="230" spans="1:10" x14ac:dyDescent="0.2">
      <c r="A230" s="1" t="s">
        <v>8125</v>
      </c>
      <c r="B230" s="1" t="s">
        <v>8124</v>
      </c>
      <c r="D230" s="2" t="str">
        <f t="shared" si="3"/>
        <v>http://zfin.org/</v>
      </c>
      <c r="E230" s="1" t="s">
        <v>4625</v>
      </c>
      <c r="F230" s="1">
        <v>8.2115917463516496E-3</v>
      </c>
      <c r="G230" s="1">
        <v>0.41916585603448597</v>
      </c>
      <c r="H230" s="1">
        <v>0.45600000000000002</v>
      </c>
      <c r="I230" s="1">
        <v>0.217</v>
      </c>
      <c r="J230" s="1">
        <v>1</v>
      </c>
    </row>
    <row r="231" spans="1:10" x14ac:dyDescent="0.2">
      <c r="A231" s="1" t="s">
        <v>8123</v>
      </c>
      <c r="B231" s="1" t="s">
        <v>8122</v>
      </c>
      <c r="C231" s="1" t="s">
        <v>8121</v>
      </c>
      <c r="D231" s="2" t="str">
        <f t="shared" si="3"/>
        <v>http://zfin.org/ZDB-GENE-060526-106</v>
      </c>
      <c r="E231" s="1" t="s">
        <v>8120</v>
      </c>
      <c r="F231" s="3">
        <v>1.24659949527644E-5</v>
      </c>
      <c r="G231" s="1">
        <v>0.41962378469613998</v>
      </c>
      <c r="H231" s="1">
        <v>0.51800000000000002</v>
      </c>
      <c r="I231" s="1">
        <v>0.15</v>
      </c>
      <c r="J231" s="1">
        <v>1</v>
      </c>
    </row>
    <row r="232" spans="1:10" x14ac:dyDescent="0.2">
      <c r="A232" s="1" t="s">
        <v>2953</v>
      </c>
      <c r="B232" s="1" t="s">
        <v>2952</v>
      </c>
      <c r="C232" s="1" t="s">
        <v>2951</v>
      </c>
      <c r="D232" s="2" t="str">
        <f t="shared" si="3"/>
        <v>http://zfin.org/ZDB-GENE-150416-1</v>
      </c>
      <c r="E232" s="1" t="s">
        <v>8119</v>
      </c>
      <c r="F232" s="1">
        <v>2.6971632495806299E-4</v>
      </c>
      <c r="G232" s="1">
        <v>0.42067225232632</v>
      </c>
      <c r="H232" s="1">
        <v>0.316</v>
      </c>
      <c r="I232" s="1">
        <v>0.05</v>
      </c>
      <c r="J232" s="1">
        <v>1</v>
      </c>
    </row>
    <row r="233" spans="1:10" x14ac:dyDescent="0.2">
      <c r="A233" s="1" t="s">
        <v>329</v>
      </c>
      <c r="B233" s="1" t="s">
        <v>328</v>
      </c>
      <c r="C233" s="1" t="s">
        <v>327</v>
      </c>
      <c r="D233" s="2" t="str">
        <f t="shared" si="3"/>
        <v>http://zfin.org/ZDB-GENE-030131-2193</v>
      </c>
      <c r="E233" s="1" t="s">
        <v>8118</v>
      </c>
      <c r="F233" s="1">
        <v>2.3795414715285699E-3</v>
      </c>
      <c r="G233" s="1">
        <v>0.42187533914916803</v>
      </c>
      <c r="H233" s="1">
        <v>0.65800000000000003</v>
      </c>
      <c r="I233" s="1">
        <v>0.36699999999999999</v>
      </c>
      <c r="J233" s="1">
        <v>1</v>
      </c>
    </row>
    <row r="234" spans="1:10" x14ac:dyDescent="0.2">
      <c r="A234" s="1" t="s">
        <v>8117</v>
      </c>
      <c r="B234" s="1" t="s">
        <v>8116</v>
      </c>
      <c r="C234" s="1" t="s">
        <v>8115</v>
      </c>
      <c r="D234" s="2" t="str">
        <f t="shared" si="3"/>
        <v>http://zfin.org/ZDB-GENE-040711-4</v>
      </c>
      <c r="E234" s="1" t="s">
        <v>8114</v>
      </c>
      <c r="F234" s="1">
        <v>4.9488941019658003E-4</v>
      </c>
      <c r="G234" s="1">
        <v>0.423750733111245</v>
      </c>
      <c r="H234" s="1">
        <v>0.623</v>
      </c>
      <c r="I234" s="1">
        <v>0.3</v>
      </c>
      <c r="J234" s="1">
        <v>1</v>
      </c>
    </row>
    <row r="235" spans="1:10" x14ac:dyDescent="0.2">
      <c r="A235" s="1" t="s">
        <v>1123</v>
      </c>
      <c r="B235" s="1" t="s">
        <v>1122</v>
      </c>
      <c r="C235" s="1" t="s">
        <v>1121</v>
      </c>
      <c r="D235" s="2" t="str">
        <f t="shared" si="3"/>
        <v>http://zfin.org/ZDB-GENE-050522-530</v>
      </c>
      <c r="E235" s="1" t="s">
        <v>8113</v>
      </c>
      <c r="F235" s="3">
        <v>4.0899146100895802E-5</v>
      </c>
      <c r="G235" s="1">
        <v>0.42578688416662502</v>
      </c>
      <c r="H235" s="1">
        <v>0.34200000000000003</v>
      </c>
      <c r="I235" s="1">
        <v>0.05</v>
      </c>
      <c r="J235" s="1">
        <v>1</v>
      </c>
    </row>
    <row r="236" spans="1:10" x14ac:dyDescent="0.2">
      <c r="A236" s="1" t="s">
        <v>1976</v>
      </c>
      <c r="B236" s="1" t="s">
        <v>1975</v>
      </c>
      <c r="C236" s="1" t="s">
        <v>1974</v>
      </c>
      <c r="D236" s="2" t="str">
        <f t="shared" si="3"/>
        <v>http://zfin.org/ZDB-GENE-040912-149</v>
      </c>
      <c r="E236" s="1" t="s">
        <v>8112</v>
      </c>
      <c r="F236" s="1">
        <v>4.0677779939537101E-4</v>
      </c>
      <c r="G236" s="1">
        <v>0.42620466226190701</v>
      </c>
      <c r="H236" s="1">
        <v>0.439</v>
      </c>
      <c r="I236" s="1">
        <v>0.13300000000000001</v>
      </c>
      <c r="J236" s="1">
        <v>1</v>
      </c>
    </row>
    <row r="237" spans="1:10" x14ac:dyDescent="0.2">
      <c r="A237" s="1" t="s">
        <v>508</v>
      </c>
      <c r="B237" s="1" t="s">
        <v>507</v>
      </c>
      <c r="C237" s="1" t="s">
        <v>506</v>
      </c>
      <c r="D237" s="2" t="str">
        <f t="shared" si="3"/>
        <v>http://zfin.org/ZDB-GENE-100913-3</v>
      </c>
      <c r="E237" s="1" t="s">
        <v>8111</v>
      </c>
      <c r="F237" s="3">
        <v>6.2225795721526798E-6</v>
      </c>
      <c r="G237" s="1">
        <v>0.42652198344620401</v>
      </c>
      <c r="H237" s="1">
        <v>0.80700000000000005</v>
      </c>
      <c r="I237" s="1">
        <v>0.41699999999999998</v>
      </c>
      <c r="J237" s="1">
        <v>1</v>
      </c>
    </row>
    <row r="238" spans="1:10" x14ac:dyDescent="0.2">
      <c r="A238" s="1" t="s">
        <v>8110</v>
      </c>
      <c r="B238" s="1" t="s">
        <v>8109</v>
      </c>
      <c r="C238" s="1" t="s">
        <v>8108</v>
      </c>
      <c r="D238" s="2" t="str">
        <f t="shared" si="3"/>
        <v>http://zfin.org/ZDB-GENE-040718-223</v>
      </c>
      <c r="E238" s="1" t="s">
        <v>8107</v>
      </c>
      <c r="F238" s="3">
        <v>3.7424315970584E-5</v>
      </c>
      <c r="G238" s="1">
        <v>0.42668358359040598</v>
      </c>
      <c r="H238" s="1">
        <v>0.60499999999999998</v>
      </c>
      <c r="I238" s="1">
        <v>0.23300000000000001</v>
      </c>
      <c r="J238" s="1">
        <v>1</v>
      </c>
    </row>
    <row r="239" spans="1:10" x14ac:dyDescent="0.2">
      <c r="A239" s="1" t="s">
        <v>448</v>
      </c>
      <c r="B239" s="1" t="s">
        <v>447</v>
      </c>
      <c r="C239" s="1" t="s">
        <v>446</v>
      </c>
      <c r="D239" s="2" t="str">
        <f t="shared" si="3"/>
        <v>http://zfin.org/ZDB-GENE-041114-100</v>
      </c>
      <c r="E239" s="1" t="s">
        <v>8106</v>
      </c>
      <c r="F239" s="3">
        <v>7.67850187147181E-7</v>
      </c>
      <c r="G239" s="1">
        <v>0.42929040574170102</v>
      </c>
      <c r="H239" s="1">
        <v>0.77200000000000002</v>
      </c>
      <c r="I239" s="1">
        <v>0.35</v>
      </c>
      <c r="J239" s="1">
        <v>1</v>
      </c>
    </row>
    <row r="240" spans="1:10" x14ac:dyDescent="0.2">
      <c r="A240" s="1" t="s">
        <v>8105</v>
      </c>
      <c r="B240" s="1" t="s">
        <v>8104</v>
      </c>
      <c r="C240" s="1" t="s">
        <v>8103</v>
      </c>
      <c r="D240" s="2" t="str">
        <f t="shared" si="3"/>
        <v>http://zfin.org/</v>
      </c>
      <c r="E240" s="1" t="s">
        <v>4625</v>
      </c>
      <c r="F240" s="1">
        <v>5.6982773357629299E-4</v>
      </c>
      <c r="G240" s="1">
        <v>0.43149764357280601</v>
      </c>
      <c r="H240" s="1">
        <v>0.35099999999999998</v>
      </c>
      <c r="I240" s="1">
        <v>8.3000000000000004E-2</v>
      </c>
      <c r="J240" s="1">
        <v>1</v>
      </c>
    </row>
    <row r="241" spans="1:10" x14ac:dyDescent="0.2">
      <c r="A241" s="1" t="s">
        <v>2848</v>
      </c>
      <c r="B241" s="1" t="s">
        <v>2847</v>
      </c>
      <c r="C241" s="1" t="s">
        <v>2846</v>
      </c>
      <c r="D241" s="2" t="str">
        <f t="shared" si="3"/>
        <v>http://zfin.org/ZDB-GENE-040426-1971</v>
      </c>
      <c r="E241" s="1" t="s">
        <v>8102</v>
      </c>
      <c r="F241" s="1">
        <v>1.15591644157987E-3</v>
      </c>
      <c r="G241" s="1">
        <v>0.43201186166429101</v>
      </c>
      <c r="H241" s="1">
        <v>0.5</v>
      </c>
      <c r="I241" s="1">
        <v>0.25</v>
      </c>
      <c r="J241" s="1">
        <v>1</v>
      </c>
    </row>
    <row r="242" spans="1:10" x14ac:dyDescent="0.2">
      <c r="A242" s="1" t="s">
        <v>8101</v>
      </c>
      <c r="B242" s="1" t="s">
        <v>8100</v>
      </c>
      <c r="C242" s="1" t="s">
        <v>8099</v>
      </c>
      <c r="D242" s="2" t="str">
        <f t="shared" si="3"/>
        <v>http://zfin.org/ZDB-GENE-060608-2</v>
      </c>
      <c r="E242" s="1" t="s">
        <v>8098</v>
      </c>
      <c r="F242" s="1">
        <v>4.4118209089466802E-4</v>
      </c>
      <c r="G242" s="1">
        <v>0.43428453886961499</v>
      </c>
      <c r="H242" s="1">
        <v>0.76300000000000001</v>
      </c>
      <c r="I242" s="1">
        <v>0.48299999999999998</v>
      </c>
      <c r="J242" s="1">
        <v>1</v>
      </c>
    </row>
    <row r="243" spans="1:10" x14ac:dyDescent="0.2">
      <c r="A243" s="1" t="s">
        <v>8097</v>
      </c>
      <c r="B243" s="1" t="s">
        <v>8096</v>
      </c>
      <c r="C243" s="1" t="s">
        <v>8095</v>
      </c>
      <c r="D243" s="2" t="str">
        <f t="shared" si="3"/>
        <v>http://zfin.org/ZDB-GENE-030131-760</v>
      </c>
      <c r="E243" s="1" t="s">
        <v>8094</v>
      </c>
      <c r="F243" s="1">
        <v>5.7623019952125298E-4</v>
      </c>
      <c r="G243" s="1">
        <v>0.43438922380199901</v>
      </c>
      <c r="H243" s="1">
        <v>0.64</v>
      </c>
      <c r="I243" s="1">
        <v>0.317</v>
      </c>
      <c r="J243" s="1">
        <v>1</v>
      </c>
    </row>
    <row r="244" spans="1:10" x14ac:dyDescent="0.2">
      <c r="A244" s="1" t="s">
        <v>8093</v>
      </c>
      <c r="B244" s="1" t="s">
        <v>8092</v>
      </c>
      <c r="C244" s="1" t="s">
        <v>8091</v>
      </c>
      <c r="D244" s="2" t="str">
        <f t="shared" si="3"/>
        <v>http://zfin.org/ZDB-GENE-040108-10</v>
      </c>
      <c r="E244" s="1" t="s">
        <v>8090</v>
      </c>
      <c r="F244" s="3">
        <v>6.1410133001332304E-6</v>
      </c>
      <c r="G244" s="1">
        <v>0.43447699172946902</v>
      </c>
      <c r="H244" s="1">
        <v>0.34200000000000003</v>
      </c>
      <c r="I244" s="1">
        <v>3.3000000000000002E-2</v>
      </c>
      <c r="J244" s="1">
        <v>1</v>
      </c>
    </row>
    <row r="245" spans="1:10" x14ac:dyDescent="0.2">
      <c r="A245" s="1" t="s">
        <v>8089</v>
      </c>
      <c r="B245" s="1" t="s">
        <v>8088</v>
      </c>
      <c r="C245" s="1" t="s">
        <v>8087</v>
      </c>
      <c r="D245" s="2" t="str">
        <f t="shared" si="3"/>
        <v>http://zfin.org/ZDB-GENE-040426-754</v>
      </c>
      <c r="E245" s="1" t="s">
        <v>8086</v>
      </c>
      <c r="F245" s="1">
        <v>1.96157420886979E-4</v>
      </c>
      <c r="G245" s="1">
        <v>0.43494154242319899</v>
      </c>
      <c r="H245" s="1">
        <v>0.623</v>
      </c>
      <c r="I245" s="1">
        <v>0.33300000000000002</v>
      </c>
      <c r="J245" s="1">
        <v>1</v>
      </c>
    </row>
    <row r="246" spans="1:10" x14ac:dyDescent="0.2">
      <c r="A246" s="1" t="s">
        <v>8085</v>
      </c>
      <c r="B246" s="1" t="s">
        <v>8084</v>
      </c>
      <c r="C246" s="1" t="s">
        <v>8083</v>
      </c>
      <c r="D246" s="2" t="str">
        <f t="shared" si="3"/>
        <v>http://zfin.org/ZDB-GENE-040718-94</v>
      </c>
      <c r="E246" s="1" t="s">
        <v>8082</v>
      </c>
      <c r="F246" s="1">
        <v>2.9635266854407199E-4</v>
      </c>
      <c r="G246" s="1">
        <v>0.43565248984390098</v>
      </c>
      <c r="H246" s="1">
        <v>0.85099999999999998</v>
      </c>
      <c r="I246" s="1">
        <v>0.56699999999999995</v>
      </c>
      <c r="J246" s="1">
        <v>1</v>
      </c>
    </row>
    <row r="247" spans="1:10" x14ac:dyDescent="0.2">
      <c r="A247" s="1" t="s">
        <v>8081</v>
      </c>
      <c r="B247" s="1" t="s">
        <v>8080</v>
      </c>
      <c r="C247" s="1" t="s">
        <v>8079</v>
      </c>
      <c r="D247" s="2" t="str">
        <f t="shared" si="3"/>
        <v>http://zfin.org/ZDB-GENE-030131-2818</v>
      </c>
      <c r="E247" s="1" t="s">
        <v>8078</v>
      </c>
      <c r="F247" s="3">
        <v>9.3413625155660506E-6</v>
      </c>
      <c r="G247" s="1">
        <v>0.43985938792425</v>
      </c>
      <c r="H247" s="1">
        <v>0.29799999999999999</v>
      </c>
      <c r="I247" s="1">
        <v>3.3000000000000002E-2</v>
      </c>
      <c r="J247" s="1">
        <v>1</v>
      </c>
    </row>
    <row r="248" spans="1:10" x14ac:dyDescent="0.2">
      <c r="A248" s="1" t="s">
        <v>8077</v>
      </c>
      <c r="B248" s="1" t="s">
        <v>8076</v>
      </c>
      <c r="C248" s="1" t="s">
        <v>8075</v>
      </c>
      <c r="D248" s="2" t="str">
        <f t="shared" si="3"/>
        <v>http://zfin.org/ZDB-GENE-020419-11</v>
      </c>
      <c r="E248" s="1" t="s">
        <v>8074</v>
      </c>
      <c r="F248" s="3">
        <v>2.2209651998709298E-5</v>
      </c>
      <c r="G248" s="1">
        <v>0.44438569675760597</v>
      </c>
      <c r="H248" s="1">
        <v>0.88600000000000001</v>
      </c>
      <c r="I248" s="1">
        <v>0.56699999999999995</v>
      </c>
      <c r="J248" s="1">
        <v>1</v>
      </c>
    </row>
    <row r="249" spans="1:10" x14ac:dyDescent="0.2">
      <c r="A249" s="1" t="s">
        <v>8073</v>
      </c>
      <c r="B249" s="1" t="s">
        <v>8072</v>
      </c>
      <c r="C249" s="1" t="s">
        <v>8071</v>
      </c>
      <c r="D249" s="2" t="str">
        <f t="shared" si="3"/>
        <v>http://zfin.org/ZDB-GENE-081104-370</v>
      </c>
      <c r="E249" s="1" t="s">
        <v>8070</v>
      </c>
      <c r="F249" s="3">
        <v>2.76016972550769E-6</v>
      </c>
      <c r="G249" s="1">
        <v>0.44679189513581502</v>
      </c>
      <c r="H249" s="1">
        <v>0.26300000000000001</v>
      </c>
      <c r="I249" s="1">
        <v>0</v>
      </c>
      <c r="J249" s="1">
        <v>1</v>
      </c>
    </row>
    <row r="250" spans="1:10" x14ac:dyDescent="0.2">
      <c r="A250" s="1" t="s">
        <v>8069</v>
      </c>
      <c r="B250" s="1" t="s">
        <v>8068</v>
      </c>
      <c r="C250" s="1" t="s">
        <v>8067</v>
      </c>
      <c r="D250" s="2" t="str">
        <f t="shared" si="3"/>
        <v>http://zfin.org/ZDB-GENE-040122-4</v>
      </c>
      <c r="E250" s="1" t="s">
        <v>8066</v>
      </c>
      <c r="F250" s="3">
        <v>2.0160515762986E-5</v>
      </c>
      <c r="G250" s="1">
        <v>0.44814963956744303</v>
      </c>
      <c r="H250" s="1">
        <v>0.92100000000000004</v>
      </c>
      <c r="I250" s="1">
        <v>0.68300000000000005</v>
      </c>
      <c r="J250" s="1">
        <v>1</v>
      </c>
    </row>
    <row r="251" spans="1:10" x14ac:dyDescent="0.2">
      <c r="A251" s="1" t="s">
        <v>8065</v>
      </c>
      <c r="B251" s="1" t="s">
        <v>8064</v>
      </c>
      <c r="C251" s="1" t="s">
        <v>8063</v>
      </c>
      <c r="D251" s="2" t="str">
        <f t="shared" si="3"/>
        <v>http://zfin.org/ZDB-GENE-091118-80</v>
      </c>
      <c r="E251" s="1" t="s">
        <v>8062</v>
      </c>
      <c r="F251" s="1">
        <v>2.3789204861143E-4</v>
      </c>
      <c r="G251" s="1">
        <v>0.453502847799991</v>
      </c>
      <c r="H251" s="1">
        <v>0.51800000000000002</v>
      </c>
      <c r="I251" s="1">
        <v>0.2</v>
      </c>
      <c r="J251" s="1">
        <v>1</v>
      </c>
    </row>
    <row r="252" spans="1:10" x14ac:dyDescent="0.2">
      <c r="A252" s="1" t="s">
        <v>3862</v>
      </c>
      <c r="B252" s="1" t="s">
        <v>3861</v>
      </c>
      <c r="C252" s="1" t="s">
        <v>3860</v>
      </c>
      <c r="D252" s="2" t="str">
        <f t="shared" si="3"/>
        <v>http://zfin.org/ZDB-GENE-040426-2653</v>
      </c>
      <c r="E252" s="1" t="s">
        <v>8061</v>
      </c>
      <c r="F252" s="3">
        <v>3.7216881590541397E-5</v>
      </c>
      <c r="G252" s="1">
        <v>0.45356050490659899</v>
      </c>
      <c r="H252" s="1">
        <v>0.45600000000000002</v>
      </c>
      <c r="I252" s="1">
        <v>0.11700000000000001</v>
      </c>
      <c r="J252" s="1">
        <v>1</v>
      </c>
    </row>
    <row r="253" spans="1:10" x14ac:dyDescent="0.2">
      <c r="A253" s="1" t="s">
        <v>543</v>
      </c>
      <c r="B253" s="1" t="s">
        <v>542</v>
      </c>
      <c r="C253" s="1" t="s">
        <v>541</v>
      </c>
      <c r="D253" s="2" t="str">
        <f t="shared" si="3"/>
        <v>http://zfin.org/ZDB-GENE-050522-238</v>
      </c>
      <c r="E253" s="1" t="s">
        <v>8060</v>
      </c>
      <c r="F253" s="3">
        <v>2.7824729651296901E-7</v>
      </c>
      <c r="G253" s="1">
        <v>0.45466351001960797</v>
      </c>
      <c r="H253" s="1">
        <v>0.96499999999999997</v>
      </c>
      <c r="I253" s="1">
        <v>0.65</v>
      </c>
      <c r="J253" s="1">
        <v>1</v>
      </c>
    </row>
    <row r="254" spans="1:10" x14ac:dyDescent="0.2">
      <c r="A254" s="1" t="s">
        <v>8059</v>
      </c>
      <c r="B254" s="1" t="s">
        <v>8058</v>
      </c>
      <c r="C254" s="1" t="s">
        <v>8057</v>
      </c>
      <c r="D254" s="2" t="str">
        <f t="shared" si="3"/>
        <v>http://zfin.org/ZDB-GENE-040426-1650</v>
      </c>
      <c r="E254" s="1" t="s">
        <v>8056</v>
      </c>
      <c r="F254" s="3">
        <v>2.8262611141259599E-5</v>
      </c>
      <c r="G254" s="1">
        <v>0.45567281389960401</v>
      </c>
      <c r="H254" s="1">
        <v>0.83299999999999996</v>
      </c>
      <c r="I254" s="1">
        <v>0.5</v>
      </c>
      <c r="J254" s="1">
        <v>1</v>
      </c>
    </row>
    <row r="255" spans="1:10" x14ac:dyDescent="0.2">
      <c r="A255" s="1" t="s">
        <v>8055</v>
      </c>
      <c r="B255" s="1" t="s">
        <v>8054</v>
      </c>
      <c r="C255" s="1" t="s">
        <v>8053</v>
      </c>
      <c r="D255" s="2" t="str">
        <f t="shared" si="3"/>
        <v>http://zfin.org/ZDB-GENE-040426-2136</v>
      </c>
      <c r="E255" s="1" t="s">
        <v>8052</v>
      </c>
      <c r="F255" s="1">
        <v>2.68088282938781E-4</v>
      </c>
      <c r="G255" s="1">
        <v>0.45567600795991098</v>
      </c>
      <c r="H255" s="1">
        <v>0.63200000000000001</v>
      </c>
      <c r="I255" s="1">
        <v>0.3</v>
      </c>
      <c r="J255" s="1">
        <v>1</v>
      </c>
    </row>
    <row r="256" spans="1:10" x14ac:dyDescent="0.2">
      <c r="A256" s="1" t="s">
        <v>8051</v>
      </c>
      <c r="B256" s="1" t="s">
        <v>8050</v>
      </c>
      <c r="C256" s="1" t="s">
        <v>8049</v>
      </c>
      <c r="D256" s="2" t="str">
        <f t="shared" si="3"/>
        <v>http://zfin.org/ZDB-GENE-030131-8410</v>
      </c>
      <c r="E256" s="1" t="s">
        <v>8048</v>
      </c>
      <c r="F256" s="3">
        <v>5.4640148704169602E-5</v>
      </c>
      <c r="G256" s="1">
        <v>0.45598091973001598</v>
      </c>
      <c r="H256" s="1">
        <v>0.92100000000000004</v>
      </c>
      <c r="I256" s="1">
        <v>0.71699999999999997</v>
      </c>
      <c r="J256" s="1">
        <v>1</v>
      </c>
    </row>
    <row r="257" spans="1:10" x14ac:dyDescent="0.2">
      <c r="A257" s="1" t="s">
        <v>8047</v>
      </c>
      <c r="B257" s="1" t="s">
        <v>8046</v>
      </c>
      <c r="C257" s="1" t="s">
        <v>8045</v>
      </c>
      <c r="D257" s="2" t="str">
        <f t="shared" si="3"/>
        <v>http://zfin.org/ZDB-GENE-090311-19</v>
      </c>
      <c r="E257" s="1" t="s">
        <v>8044</v>
      </c>
      <c r="F257" s="3">
        <v>7.1299679800744799E-5</v>
      </c>
      <c r="G257" s="1">
        <v>0.45886528511547298</v>
      </c>
      <c r="H257" s="1">
        <v>0.41199999999999998</v>
      </c>
      <c r="I257" s="1">
        <v>0.1</v>
      </c>
      <c r="J257" s="1">
        <v>1</v>
      </c>
    </row>
    <row r="258" spans="1:10" x14ac:dyDescent="0.2">
      <c r="A258" s="1" t="s">
        <v>2635</v>
      </c>
      <c r="B258" s="1" t="s">
        <v>2634</v>
      </c>
      <c r="C258" s="1" t="s">
        <v>2633</v>
      </c>
      <c r="D258" s="2" t="str">
        <f t="shared" ref="D258:D321" si="4">HYPERLINK(E258)</f>
        <v>http://zfin.org/ZDB-GENE-001127-3</v>
      </c>
      <c r="E258" s="1" t="s">
        <v>8043</v>
      </c>
      <c r="F258" s="3">
        <v>6.3666421553915998E-5</v>
      </c>
      <c r="G258" s="1">
        <v>0.45911148775803001</v>
      </c>
      <c r="H258" s="1">
        <v>0.93</v>
      </c>
      <c r="I258" s="1">
        <v>0.68300000000000005</v>
      </c>
      <c r="J258" s="1">
        <v>1</v>
      </c>
    </row>
    <row r="259" spans="1:10" x14ac:dyDescent="0.2">
      <c r="A259" s="1" t="s">
        <v>8042</v>
      </c>
      <c r="B259" s="1" t="s">
        <v>8041</v>
      </c>
      <c r="C259" s="1" t="s">
        <v>8040</v>
      </c>
      <c r="D259" s="2" t="str">
        <f t="shared" si="4"/>
        <v>http://zfin.org/ZDB-GENE-040426-1960</v>
      </c>
      <c r="E259" s="1" t="s">
        <v>8039</v>
      </c>
      <c r="F259" s="1">
        <v>1.40202927968089E-4</v>
      </c>
      <c r="G259" s="1">
        <v>0.46109784791396802</v>
      </c>
      <c r="H259" s="1">
        <v>0.88600000000000001</v>
      </c>
      <c r="I259" s="1">
        <v>0.65</v>
      </c>
      <c r="J259" s="1">
        <v>1</v>
      </c>
    </row>
    <row r="260" spans="1:10" x14ac:dyDescent="0.2">
      <c r="A260" s="1" t="s">
        <v>8038</v>
      </c>
      <c r="B260" s="1" t="s">
        <v>8037</v>
      </c>
      <c r="C260" s="1" t="s">
        <v>8036</v>
      </c>
      <c r="D260" s="2" t="str">
        <f t="shared" si="4"/>
        <v>http://zfin.org/ZDB-GENE-000210-34</v>
      </c>
      <c r="E260" s="1" t="s">
        <v>8035</v>
      </c>
      <c r="F260" s="1">
        <v>1.2263650728189799E-4</v>
      </c>
      <c r="G260" s="1">
        <v>0.461662017208121</v>
      </c>
      <c r="H260" s="1">
        <v>0.50900000000000001</v>
      </c>
      <c r="I260" s="1">
        <v>0.183</v>
      </c>
      <c r="J260" s="1">
        <v>1</v>
      </c>
    </row>
    <row r="261" spans="1:10" x14ac:dyDescent="0.2">
      <c r="A261" s="1" t="s">
        <v>389</v>
      </c>
      <c r="B261" s="1" t="s">
        <v>8034</v>
      </c>
      <c r="D261" s="2" t="str">
        <f t="shared" si="4"/>
        <v>http://zfin.org/</v>
      </c>
      <c r="E261" s="1" t="s">
        <v>4625</v>
      </c>
      <c r="F261" s="1">
        <v>2.7217210155318599E-4</v>
      </c>
      <c r="G261" s="1">
        <v>0.46246387789918703</v>
      </c>
      <c r="H261" s="1">
        <v>0.754</v>
      </c>
      <c r="I261" s="1">
        <v>0.433</v>
      </c>
      <c r="J261" s="1">
        <v>1</v>
      </c>
    </row>
    <row r="262" spans="1:10" x14ac:dyDescent="0.2">
      <c r="A262" s="1" t="s">
        <v>8033</v>
      </c>
      <c r="B262" s="1" t="s">
        <v>8032</v>
      </c>
      <c r="C262" s="1" t="s">
        <v>8031</v>
      </c>
      <c r="D262" s="2" t="str">
        <f t="shared" si="4"/>
        <v>http://zfin.org/ZDB-GENE-030131-6098</v>
      </c>
      <c r="E262" s="1" t="s">
        <v>8030</v>
      </c>
      <c r="F262" s="3">
        <v>6.17770091198757E-5</v>
      </c>
      <c r="G262" s="1">
        <v>0.46284412400005798</v>
      </c>
      <c r="H262" s="1">
        <v>0.27200000000000002</v>
      </c>
      <c r="I262" s="1">
        <v>3.3000000000000002E-2</v>
      </c>
      <c r="J262" s="1">
        <v>1</v>
      </c>
    </row>
    <row r="263" spans="1:10" x14ac:dyDescent="0.2">
      <c r="A263" s="1" t="s">
        <v>8029</v>
      </c>
      <c r="B263" s="1" t="s">
        <v>8028</v>
      </c>
      <c r="C263" s="1" t="s">
        <v>8027</v>
      </c>
      <c r="D263" s="2" t="str">
        <f t="shared" si="4"/>
        <v>http://zfin.org/ZDB-GENE-050302-97</v>
      </c>
      <c r="E263" s="1" t="s">
        <v>8026</v>
      </c>
      <c r="F263" s="3">
        <v>3.3815806919323299E-6</v>
      </c>
      <c r="G263" s="1">
        <v>0.46352545234778397</v>
      </c>
      <c r="H263" s="1">
        <v>0.746</v>
      </c>
      <c r="I263" s="1">
        <v>0.33300000000000002</v>
      </c>
      <c r="J263" s="1">
        <v>1</v>
      </c>
    </row>
    <row r="264" spans="1:10" x14ac:dyDescent="0.2">
      <c r="A264" s="1" t="s">
        <v>8025</v>
      </c>
      <c r="B264" s="1" t="s">
        <v>8024</v>
      </c>
      <c r="C264" s="1" t="s">
        <v>8023</v>
      </c>
      <c r="D264" s="2" t="str">
        <f t="shared" si="4"/>
        <v>http://zfin.org/ZDB-GENE-041010-133</v>
      </c>
      <c r="E264" s="1" t="s">
        <v>8022</v>
      </c>
      <c r="F264" s="3">
        <v>1.25550430766349E-6</v>
      </c>
      <c r="G264" s="1">
        <v>0.46745640297360003</v>
      </c>
      <c r="H264" s="1">
        <v>0.92100000000000004</v>
      </c>
      <c r="I264" s="1">
        <v>0.58299999999999996</v>
      </c>
      <c r="J264" s="1">
        <v>1</v>
      </c>
    </row>
    <row r="265" spans="1:10" x14ac:dyDescent="0.2">
      <c r="A265" s="1" t="s">
        <v>8021</v>
      </c>
      <c r="B265" s="1" t="s">
        <v>8020</v>
      </c>
      <c r="C265" s="1" t="s">
        <v>8019</v>
      </c>
      <c r="D265" s="2" t="str">
        <f t="shared" si="4"/>
        <v>http://zfin.org/ZDB-GENE-090313-227</v>
      </c>
      <c r="E265" s="1" t="s">
        <v>8018</v>
      </c>
      <c r="F265" s="3">
        <v>4.9443844896517203E-6</v>
      </c>
      <c r="G265" s="1">
        <v>0.46970389825495901</v>
      </c>
      <c r="H265" s="1">
        <v>0.43</v>
      </c>
      <c r="I265" s="1">
        <v>8.3000000000000004E-2</v>
      </c>
      <c r="J265" s="1">
        <v>1</v>
      </c>
    </row>
    <row r="266" spans="1:10" x14ac:dyDescent="0.2">
      <c r="A266" s="1" t="s">
        <v>8017</v>
      </c>
      <c r="B266" s="1" t="s">
        <v>8016</v>
      </c>
      <c r="D266" s="2" t="str">
        <f t="shared" si="4"/>
        <v>http://zfin.org/</v>
      </c>
      <c r="E266" s="1" t="s">
        <v>4625</v>
      </c>
      <c r="F266" s="1">
        <v>5.4976030179834604E-3</v>
      </c>
      <c r="G266" s="1">
        <v>0.47045942688902698</v>
      </c>
      <c r="H266" s="1">
        <v>0.26300000000000001</v>
      </c>
      <c r="I266" s="1">
        <v>6.7000000000000004E-2</v>
      </c>
      <c r="J266" s="1">
        <v>1</v>
      </c>
    </row>
    <row r="267" spans="1:10" x14ac:dyDescent="0.2">
      <c r="A267" s="1" t="s">
        <v>644</v>
      </c>
      <c r="B267" s="1" t="s">
        <v>643</v>
      </c>
      <c r="C267" s="1" t="s">
        <v>642</v>
      </c>
      <c r="D267" s="2" t="str">
        <f t="shared" si="4"/>
        <v>http://zfin.org/ZDB-GENE-040426-1740</v>
      </c>
      <c r="E267" s="1" t="s">
        <v>8015</v>
      </c>
      <c r="F267" s="3">
        <v>1.99207222063388E-7</v>
      </c>
      <c r="G267" s="1">
        <v>0.47088246002426298</v>
      </c>
      <c r="H267" s="1">
        <v>0.58799999999999997</v>
      </c>
      <c r="I267" s="1">
        <v>0.16700000000000001</v>
      </c>
      <c r="J267" s="1">
        <v>1</v>
      </c>
    </row>
    <row r="268" spans="1:10" x14ac:dyDescent="0.2">
      <c r="A268" s="1" t="s">
        <v>8014</v>
      </c>
      <c r="B268" s="1" t="s">
        <v>8013</v>
      </c>
      <c r="C268" s="1" t="s">
        <v>8012</v>
      </c>
      <c r="D268" s="2" t="str">
        <f t="shared" si="4"/>
        <v>http://zfin.org/ZDB-GENE-120411-6</v>
      </c>
      <c r="E268" s="1" t="s">
        <v>8011</v>
      </c>
      <c r="F268" s="3">
        <v>9.4693575183320405E-7</v>
      </c>
      <c r="G268" s="1">
        <v>0.47131758870306101</v>
      </c>
      <c r="H268" s="1">
        <v>0.73699999999999999</v>
      </c>
      <c r="I268" s="1">
        <v>0.317</v>
      </c>
      <c r="J268" s="1">
        <v>1</v>
      </c>
    </row>
    <row r="269" spans="1:10" x14ac:dyDescent="0.2">
      <c r="A269" s="1" t="s">
        <v>8010</v>
      </c>
      <c r="B269" s="1" t="s">
        <v>8009</v>
      </c>
      <c r="C269" s="1" t="s">
        <v>8008</v>
      </c>
      <c r="D269" s="2" t="str">
        <f t="shared" si="4"/>
        <v>http://zfin.org/ZDB-GENE-120215-229</v>
      </c>
      <c r="E269" s="1" t="s">
        <v>8007</v>
      </c>
      <c r="F269" s="3">
        <v>8.4554208316010997E-5</v>
      </c>
      <c r="G269" s="1">
        <v>0.47198948125340101</v>
      </c>
      <c r="H269" s="1">
        <v>0.55300000000000005</v>
      </c>
      <c r="I269" s="1">
        <v>0.2</v>
      </c>
      <c r="J269" s="1">
        <v>1</v>
      </c>
    </row>
    <row r="270" spans="1:10" x14ac:dyDescent="0.2">
      <c r="A270" s="1" t="s">
        <v>8006</v>
      </c>
      <c r="B270" s="1" t="s">
        <v>8005</v>
      </c>
      <c r="C270" s="1" t="s">
        <v>8004</v>
      </c>
      <c r="D270" s="2" t="str">
        <f t="shared" si="4"/>
        <v>http://zfin.org/ZDB-GENE-060526-21</v>
      </c>
      <c r="E270" s="1" t="s">
        <v>8003</v>
      </c>
      <c r="F270" s="1">
        <v>3.4961291750860399E-4</v>
      </c>
      <c r="G270" s="1">
        <v>0.47233218760023798</v>
      </c>
      <c r="H270" s="1">
        <v>0.307</v>
      </c>
      <c r="I270" s="1">
        <v>0.05</v>
      </c>
      <c r="J270" s="1">
        <v>1</v>
      </c>
    </row>
    <row r="271" spans="1:10" x14ac:dyDescent="0.2">
      <c r="A271" s="1" t="s">
        <v>8002</v>
      </c>
      <c r="B271" s="1" t="s">
        <v>8001</v>
      </c>
      <c r="C271" s="1" t="s">
        <v>8000</v>
      </c>
      <c r="D271" s="2" t="str">
        <f t="shared" si="4"/>
        <v>http://zfin.org/ZDB-GENE-070620-18</v>
      </c>
      <c r="E271" s="1" t="s">
        <v>7999</v>
      </c>
      <c r="F271" s="1">
        <v>2.7522541544562699E-4</v>
      </c>
      <c r="G271" s="1">
        <v>0.47403777802594199</v>
      </c>
      <c r="H271" s="1">
        <v>0.36</v>
      </c>
      <c r="I271" s="1">
        <v>8.3000000000000004E-2</v>
      </c>
      <c r="J271" s="1">
        <v>1</v>
      </c>
    </row>
    <row r="272" spans="1:10" x14ac:dyDescent="0.2">
      <c r="A272" s="1" t="s">
        <v>7998</v>
      </c>
      <c r="B272" s="1" t="s">
        <v>7997</v>
      </c>
      <c r="C272" s="1" t="s">
        <v>7996</v>
      </c>
      <c r="D272" s="2" t="str">
        <f t="shared" si="4"/>
        <v>http://zfin.org/ZDB-GENE-080225-26</v>
      </c>
      <c r="E272" s="1" t="s">
        <v>7995</v>
      </c>
      <c r="F272" s="3">
        <v>3.0822732323072299E-6</v>
      </c>
      <c r="G272" s="1">
        <v>0.47456320898043097</v>
      </c>
      <c r="H272" s="1">
        <v>0.43</v>
      </c>
      <c r="I272" s="1">
        <v>8.3000000000000004E-2</v>
      </c>
      <c r="J272" s="1">
        <v>1</v>
      </c>
    </row>
    <row r="273" spans="1:10" x14ac:dyDescent="0.2">
      <c r="A273" s="1" t="s">
        <v>620</v>
      </c>
      <c r="B273" s="1" t="s">
        <v>619</v>
      </c>
      <c r="C273" s="1" t="s">
        <v>618</v>
      </c>
      <c r="D273" s="2" t="str">
        <f t="shared" si="4"/>
        <v>http://zfin.org/ZDB-GENE-131121-486</v>
      </c>
      <c r="E273" s="1" t="s">
        <v>7994</v>
      </c>
      <c r="F273" s="3">
        <v>5.0771241482466001E-6</v>
      </c>
      <c r="G273" s="1">
        <v>0.47607774038270401</v>
      </c>
      <c r="H273" s="1">
        <v>0.623</v>
      </c>
      <c r="I273" s="1">
        <v>0.217</v>
      </c>
      <c r="J273" s="1">
        <v>1</v>
      </c>
    </row>
    <row r="274" spans="1:10" x14ac:dyDescent="0.2">
      <c r="A274" s="1" t="s">
        <v>614</v>
      </c>
      <c r="B274" s="1" t="s">
        <v>613</v>
      </c>
      <c r="C274" s="1" t="s">
        <v>612</v>
      </c>
      <c r="D274" s="2" t="str">
        <f t="shared" si="4"/>
        <v>http://zfin.org/ZDB-GENE-040718-425</v>
      </c>
      <c r="E274" s="1" t="s">
        <v>7993</v>
      </c>
      <c r="F274" s="3">
        <v>1.72521314057274E-6</v>
      </c>
      <c r="G274" s="1">
        <v>0.47989879105295002</v>
      </c>
      <c r="H274" s="1">
        <v>0.57899999999999996</v>
      </c>
      <c r="I274" s="1">
        <v>0.16700000000000001</v>
      </c>
      <c r="J274" s="1">
        <v>1</v>
      </c>
    </row>
    <row r="275" spans="1:10" x14ac:dyDescent="0.2">
      <c r="A275" s="1" t="s">
        <v>7992</v>
      </c>
      <c r="B275" s="1" t="s">
        <v>7991</v>
      </c>
      <c r="C275" s="1" t="s">
        <v>7990</v>
      </c>
      <c r="D275" s="2" t="str">
        <f t="shared" si="4"/>
        <v>http://zfin.org/ZDB-GENE-070202-9</v>
      </c>
      <c r="E275" s="1" t="s">
        <v>7989</v>
      </c>
      <c r="F275" s="1">
        <v>3.6929317007475802E-4</v>
      </c>
      <c r="G275" s="1">
        <v>0.48030053485181601</v>
      </c>
      <c r="H275" s="1">
        <v>0.41199999999999998</v>
      </c>
      <c r="I275" s="1">
        <v>0.13300000000000001</v>
      </c>
      <c r="J275" s="1">
        <v>1</v>
      </c>
    </row>
    <row r="276" spans="1:10" x14ac:dyDescent="0.2">
      <c r="A276" s="1" t="s">
        <v>7988</v>
      </c>
      <c r="B276" s="1" t="s">
        <v>7987</v>
      </c>
      <c r="C276" s="1" t="s">
        <v>7986</v>
      </c>
      <c r="D276" s="2" t="str">
        <f t="shared" si="4"/>
        <v>http://zfin.org/ZDB-GENE-020416-3</v>
      </c>
      <c r="E276" s="1" t="s">
        <v>7985</v>
      </c>
      <c r="F276" s="3">
        <v>2.1836726801765899E-5</v>
      </c>
      <c r="G276" s="1">
        <v>0.480503325045748</v>
      </c>
      <c r="H276" s="1">
        <v>0.48199999999999998</v>
      </c>
      <c r="I276" s="1">
        <v>0.16700000000000001</v>
      </c>
      <c r="J276" s="1">
        <v>1</v>
      </c>
    </row>
    <row r="277" spans="1:10" x14ac:dyDescent="0.2">
      <c r="A277" s="1" t="s">
        <v>650</v>
      </c>
      <c r="B277" s="1" t="s">
        <v>649</v>
      </c>
      <c r="C277" s="1" t="s">
        <v>648</v>
      </c>
      <c r="D277" s="2" t="str">
        <f t="shared" si="4"/>
        <v>http://zfin.org/ZDB-GENE-040426-2152</v>
      </c>
      <c r="E277" s="1" t="s">
        <v>7984</v>
      </c>
      <c r="F277" s="3">
        <v>7.4791620323980604E-6</v>
      </c>
      <c r="G277" s="1">
        <v>0.48538381700018202</v>
      </c>
      <c r="H277" s="1">
        <v>0.754</v>
      </c>
      <c r="I277" s="1">
        <v>0.38300000000000001</v>
      </c>
      <c r="J277" s="1">
        <v>1</v>
      </c>
    </row>
    <row r="278" spans="1:10" x14ac:dyDescent="0.2">
      <c r="A278" s="1" t="s">
        <v>3381</v>
      </c>
      <c r="B278" s="1" t="s">
        <v>3380</v>
      </c>
      <c r="C278" s="1" t="s">
        <v>3379</v>
      </c>
      <c r="D278" s="2" t="str">
        <f t="shared" si="4"/>
        <v>http://zfin.org/ZDB-GENE-040426-1720</v>
      </c>
      <c r="E278" s="1" t="s">
        <v>7983</v>
      </c>
      <c r="F278" s="1">
        <v>2.5647705570186198E-4</v>
      </c>
      <c r="G278" s="1">
        <v>0.48657373266092302</v>
      </c>
      <c r="H278" s="1">
        <v>0.72799999999999998</v>
      </c>
      <c r="I278" s="1">
        <v>0.4</v>
      </c>
      <c r="J278" s="1">
        <v>1</v>
      </c>
    </row>
    <row r="279" spans="1:10" x14ac:dyDescent="0.2">
      <c r="A279" s="1" t="s">
        <v>7982</v>
      </c>
      <c r="B279" s="1" t="s">
        <v>7981</v>
      </c>
      <c r="C279" s="1" t="s">
        <v>7980</v>
      </c>
      <c r="D279" s="2" t="str">
        <f t="shared" si="4"/>
        <v>http://zfin.org/ZDB-GENE-020416-4</v>
      </c>
      <c r="E279" s="1" t="s">
        <v>7979</v>
      </c>
      <c r="F279" s="3">
        <v>1.72896648656216E-5</v>
      </c>
      <c r="G279" s="1">
        <v>0.48743442321166802</v>
      </c>
      <c r="H279" s="1">
        <v>0.5</v>
      </c>
      <c r="I279" s="1">
        <v>0.13300000000000001</v>
      </c>
      <c r="J279" s="1">
        <v>1</v>
      </c>
    </row>
    <row r="280" spans="1:10" x14ac:dyDescent="0.2">
      <c r="A280" s="1" t="s">
        <v>1672</v>
      </c>
      <c r="B280" s="1" t="s">
        <v>1671</v>
      </c>
      <c r="C280" s="1" t="s">
        <v>1670</v>
      </c>
      <c r="D280" s="2" t="str">
        <f t="shared" si="4"/>
        <v>http://zfin.org/ZDB-GENE-131127-627</v>
      </c>
      <c r="E280" s="1" t="s">
        <v>7978</v>
      </c>
      <c r="F280" s="1">
        <v>5.3097450368791703E-4</v>
      </c>
      <c r="G280" s="1">
        <v>0.48903552387619698</v>
      </c>
      <c r="H280" s="1">
        <v>0.46500000000000002</v>
      </c>
      <c r="I280" s="1">
        <v>0.16700000000000001</v>
      </c>
      <c r="J280" s="1">
        <v>1</v>
      </c>
    </row>
    <row r="281" spans="1:10" x14ac:dyDescent="0.2">
      <c r="A281" s="1" t="s">
        <v>7977</v>
      </c>
      <c r="B281" s="1" t="s">
        <v>7976</v>
      </c>
      <c r="C281" s="1" t="s">
        <v>7975</v>
      </c>
      <c r="D281" s="2" t="str">
        <f t="shared" si="4"/>
        <v>http://zfin.org/ZDB-GENE-040426-1962</v>
      </c>
      <c r="E281" s="1" t="s">
        <v>7974</v>
      </c>
      <c r="F281" s="1">
        <v>6.7200773466032505E-4</v>
      </c>
      <c r="G281" s="1">
        <v>0.492604568275192</v>
      </c>
      <c r="H281" s="1">
        <v>0.307</v>
      </c>
      <c r="I281" s="1">
        <v>6.7000000000000004E-2</v>
      </c>
      <c r="J281" s="1">
        <v>1</v>
      </c>
    </row>
    <row r="282" spans="1:10" x14ac:dyDescent="0.2">
      <c r="A282" s="1" t="s">
        <v>7973</v>
      </c>
      <c r="B282" s="1" t="s">
        <v>7972</v>
      </c>
      <c r="C282" s="1" t="s">
        <v>7971</v>
      </c>
      <c r="D282" s="2" t="str">
        <f t="shared" si="4"/>
        <v>http://zfin.org/ZDB-GENE-061016-1</v>
      </c>
      <c r="E282" s="1" t="s">
        <v>7970</v>
      </c>
      <c r="F282" s="3">
        <v>2.30413441016213E-5</v>
      </c>
      <c r="G282" s="1">
        <v>0.49313296098915599</v>
      </c>
      <c r="H282" s="1">
        <v>0.32500000000000001</v>
      </c>
      <c r="I282" s="1">
        <v>3.3000000000000002E-2</v>
      </c>
      <c r="J282" s="1">
        <v>1</v>
      </c>
    </row>
    <row r="283" spans="1:10" x14ac:dyDescent="0.2">
      <c r="A283" s="1" t="s">
        <v>457</v>
      </c>
      <c r="B283" s="1" t="s">
        <v>456</v>
      </c>
      <c r="C283" s="1" t="s">
        <v>455</v>
      </c>
      <c r="D283" s="2" t="str">
        <f t="shared" si="4"/>
        <v>http://zfin.org/ZDB-GENE-050417-327</v>
      </c>
      <c r="E283" s="1" t="s">
        <v>7969</v>
      </c>
      <c r="F283" s="3">
        <v>9.8827613772795705E-6</v>
      </c>
      <c r="G283" s="1">
        <v>0.49476793994055801</v>
      </c>
      <c r="H283" s="1">
        <v>0.754</v>
      </c>
      <c r="I283" s="1">
        <v>0.36699999999999999</v>
      </c>
      <c r="J283" s="1">
        <v>1</v>
      </c>
    </row>
    <row r="284" spans="1:10" x14ac:dyDescent="0.2">
      <c r="A284" s="1" t="s">
        <v>1973</v>
      </c>
      <c r="B284" s="1" t="s">
        <v>1972</v>
      </c>
      <c r="C284" s="1" t="s">
        <v>1971</v>
      </c>
      <c r="D284" s="2" t="str">
        <f t="shared" si="4"/>
        <v>http://zfin.org/ZDB-GENE-030131-5215</v>
      </c>
      <c r="E284" s="1" t="s">
        <v>7968</v>
      </c>
      <c r="F284" s="3">
        <v>9.52015825356554E-5</v>
      </c>
      <c r="G284" s="1">
        <v>0.49510024791706098</v>
      </c>
      <c r="H284" s="1">
        <v>0.84199999999999997</v>
      </c>
      <c r="I284" s="1">
        <v>0.65</v>
      </c>
      <c r="J284" s="1">
        <v>1</v>
      </c>
    </row>
    <row r="285" spans="1:10" x14ac:dyDescent="0.2">
      <c r="A285" s="1" t="s">
        <v>7967</v>
      </c>
      <c r="B285" s="1" t="s">
        <v>7966</v>
      </c>
      <c r="C285" s="1" t="s">
        <v>7965</v>
      </c>
      <c r="D285" s="2" t="str">
        <f t="shared" si="4"/>
        <v>http://zfin.org/ZDB-GENE-061013-189</v>
      </c>
      <c r="E285" s="1" t="s">
        <v>7964</v>
      </c>
      <c r="F285" s="1">
        <v>1.2256235562609099E-4</v>
      </c>
      <c r="G285" s="1">
        <v>0.49995730319652798</v>
      </c>
      <c r="H285" s="1">
        <v>0.42099999999999999</v>
      </c>
      <c r="I285" s="1">
        <v>0.16700000000000001</v>
      </c>
      <c r="J285" s="1">
        <v>1</v>
      </c>
    </row>
    <row r="286" spans="1:10" x14ac:dyDescent="0.2">
      <c r="A286" s="1" t="s">
        <v>719</v>
      </c>
      <c r="B286" s="1" t="s">
        <v>718</v>
      </c>
      <c r="C286" s="1" t="s">
        <v>717</v>
      </c>
      <c r="D286" s="2" t="str">
        <f t="shared" si="4"/>
        <v>http://zfin.org/ZDB-GENE-060929-998</v>
      </c>
      <c r="E286" s="1" t="s">
        <v>7963</v>
      </c>
      <c r="F286" s="3">
        <v>4.9774021603490802E-12</v>
      </c>
      <c r="G286" s="1">
        <v>0.49997055031374599</v>
      </c>
      <c r="H286" s="1">
        <v>0.85099999999999998</v>
      </c>
      <c r="I286" s="1">
        <v>0.317</v>
      </c>
      <c r="J286" s="1">
        <v>1</v>
      </c>
    </row>
    <row r="287" spans="1:10" x14ac:dyDescent="0.2">
      <c r="A287" s="1" t="s">
        <v>3070</v>
      </c>
      <c r="B287" s="1" t="s">
        <v>3069</v>
      </c>
      <c r="C287" s="1" t="s">
        <v>3068</v>
      </c>
      <c r="D287" s="2" t="str">
        <f t="shared" si="4"/>
        <v>http://zfin.org/ZDB-GENE-080722-2</v>
      </c>
      <c r="E287" s="1" t="s">
        <v>7962</v>
      </c>
      <c r="F287" s="1">
        <v>1.3550605665292999E-4</v>
      </c>
      <c r="G287" s="1">
        <v>0.50048350122924701</v>
      </c>
      <c r="H287" s="1">
        <v>0.36799999999999999</v>
      </c>
      <c r="I287" s="1">
        <v>8.3000000000000004E-2</v>
      </c>
      <c r="J287" s="1">
        <v>1</v>
      </c>
    </row>
    <row r="288" spans="1:10" x14ac:dyDescent="0.2">
      <c r="A288" s="1" t="s">
        <v>314</v>
      </c>
      <c r="B288" s="1" t="s">
        <v>313</v>
      </c>
      <c r="C288" s="1" t="s">
        <v>312</v>
      </c>
      <c r="D288" s="2" t="str">
        <f t="shared" si="4"/>
        <v>http://zfin.org/ZDB-GENE-160114-87</v>
      </c>
      <c r="E288" s="1" t="s">
        <v>7961</v>
      </c>
      <c r="F288" s="3">
        <v>4.6805534484289201E-5</v>
      </c>
      <c r="G288" s="1">
        <v>0.50654432202058897</v>
      </c>
      <c r="H288" s="1">
        <v>0.61399999999999999</v>
      </c>
      <c r="I288" s="1">
        <v>0.25</v>
      </c>
      <c r="J288" s="1">
        <v>1</v>
      </c>
    </row>
    <row r="289" spans="1:10" x14ac:dyDescent="0.2">
      <c r="A289" s="1" t="s">
        <v>623</v>
      </c>
      <c r="B289" s="1" t="s">
        <v>622</v>
      </c>
      <c r="C289" s="1" t="s">
        <v>621</v>
      </c>
      <c r="D289" s="2" t="str">
        <f t="shared" si="4"/>
        <v>http://zfin.org/ZDB-GENE-041014-339</v>
      </c>
      <c r="E289" s="1" t="s">
        <v>7960</v>
      </c>
      <c r="F289" s="3">
        <v>3.3505450321045101E-6</v>
      </c>
      <c r="G289" s="1">
        <v>0.51121261389044104</v>
      </c>
      <c r="H289" s="1">
        <v>0.46500000000000002</v>
      </c>
      <c r="I289" s="1">
        <v>0.1</v>
      </c>
      <c r="J289" s="1">
        <v>1</v>
      </c>
    </row>
    <row r="290" spans="1:10" x14ac:dyDescent="0.2">
      <c r="A290" s="1" t="s">
        <v>701</v>
      </c>
      <c r="B290" s="1" t="s">
        <v>700</v>
      </c>
      <c r="C290" s="1" t="s">
        <v>699</v>
      </c>
      <c r="D290" s="2" t="str">
        <f t="shared" si="4"/>
        <v>http://zfin.org/ZDB-GENE-030131-7859</v>
      </c>
      <c r="E290" s="1" t="s">
        <v>7959</v>
      </c>
      <c r="F290" s="3">
        <v>7.5387859425365803E-8</v>
      </c>
      <c r="G290" s="1">
        <v>0.51315989364486703</v>
      </c>
      <c r="H290" s="1">
        <v>0.98199999999999998</v>
      </c>
      <c r="I290" s="1">
        <v>0.78300000000000003</v>
      </c>
      <c r="J290" s="1">
        <v>1</v>
      </c>
    </row>
    <row r="291" spans="1:10" x14ac:dyDescent="0.2">
      <c r="A291" s="1" t="s">
        <v>594</v>
      </c>
      <c r="B291" s="1" t="s">
        <v>593</v>
      </c>
      <c r="C291" s="1" t="s">
        <v>592</v>
      </c>
      <c r="D291" s="2" t="str">
        <f t="shared" si="4"/>
        <v>http://zfin.org/ZDB-GENE-050413-1</v>
      </c>
      <c r="E291" s="1" t="s">
        <v>7958</v>
      </c>
      <c r="F291" s="3">
        <v>3.6941660086005399E-11</v>
      </c>
      <c r="G291" s="1">
        <v>0.51398524164227699</v>
      </c>
      <c r="H291" s="1">
        <v>0.96499999999999997</v>
      </c>
      <c r="I291" s="1">
        <v>0.56699999999999995</v>
      </c>
      <c r="J291" s="1">
        <v>1</v>
      </c>
    </row>
    <row r="292" spans="1:10" x14ac:dyDescent="0.2">
      <c r="A292" s="1" t="s">
        <v>1135</v>
      </c>
      <c r="B292" s="1" t="s">
        <v>1134</v>
      </c>
      <c r="C292" s="1" t="s">
        <v>1133</v>
      </c>
      <c r="D292" s="2" t="str">
        <f t="shared" si="4"/>
        <v>http://zfin.org/ZDB-GENE-021016-1</v>
      </c>
      <c r="E292" s="1" t="s">
        <v>7957</v>
      </c>
      <c r="F292" s="1">
        <v>1.14243068232694E-4</v>
      </c>
      <c r="G292" s="1">
        <v>0.51882834072129402</v>
      </c>
      <c r="H292" s="1">
        <v>0.58799999999999997</v>
      </c>
      <c r="I292" s="1">
        <v>0.23300000000000001</v>
      </c>
      <c r="J292" s="1">
        <v>1</v>
      </c>
    </row>
    <row r="293" spans="1:10" x14ac:dyDescent="0.2">
      <c r="A293" s="1" t="s">
        <v>680</v>
      </c>
      <c r="B293" s="1" t="s">
        <v>679</v>
      </c>
      <c r="C293" s="1" t="s">
        <v>678</v>
      </c>
      <c r="D293" s="2" t="str">
        <f t="shared" si="4"/>
        <v>http://zfin.org/ZDB-GENE-030131-3065</v>
      </c>
      <c r="E293" s="1" t="s">
        <v>7956</v>
      </c>
      <c r="F293" s="3">
        <v>4.9138325531143902E-9</v>
      </c>
      <c r="G293" s="1">
        <v>0.52498708959715801</v>
      </c>
      <c r="H293" s="1">
        <v>0.5</v>
      </c>
      <c r="I293" s="1">
        <v>6.7000000000000004E-2</v>
      </c>
      <c r="J293" s="1">
        <v>1</v>
      </c>
    </row>
    <row r="294" spans="1:10" x14ac:dyDescent="0.2">
      <c r="A294" s="1" t="s">
        <v>695</v>
      </c>
      <c r="B294" s="1" t="s">
        <v>694</v>
      </c>
      <c r="C294" s="1" t="s">
        <v>693</v>
      </c>
      <c r="D294" s="2" t="str">
        <f t="shared" si="4"/>
        <v>http://zfin.org/ZDB-GENE-030410-5</v>
      </c>
      <c r="E294" s="1" t="s">
        <v>7955</v>
      </c>
      <c r="F294" s="3">
        <v>1.2279556932347E-8</v>
      </c>
      <c r="G294" s="1">
        <v>0.52678389913490697</v>
      </c>
      <c r="H294" s="1">
        <v>0.98199999999999998</v>
      </c>
      <c r="I294" s="1">
        <v>0.76700000000000002</v>
      </c>
      <c r="J294" s="1">
        <v>1</v>
      </c>
    </row>
    <row r="295" spans="1:10" x14ac:dyDescent="0.2">
      <c r="A295" s="1" t="s">
        <v>3913</v>
      </c>
      <c r="B295" s="1" t="s">
        <v>3912</v>
      </c>
      <c r="C295" s="1" t="s">
        <v>3911</v>
      </c>
      <c r="D295" s="2" t="str">
        <f t="shared" si="4"/>
        <v>http://zfin.org/ZDB-GENE-020513-2</v>
      </c>
      <c r="E295" s="1" t="s">
        <v>7954</v>
      </c>
      <c r="F295" s="3">
        <v>1.9297008159735301E-6</v>
      </c>
      <c r="G295" s="1">
        <v>0.53067674228672901</v>
      </c>
      <c r="H295" s="1">
        <v>0.53500000000000003</v>
      </c>
      <c r="I295" s="1">
        <v>0.16700000000000001</v>
      </c>
      <c r="J295" s="1">
        <v>1</v>
      </c>
    </row>
    <row r="296" spans="1:10" x14ac:dyDescent="0.2">
      <c r="A296" s="1" t="s">
        <v>629</v>
      </c>
      <c r="B296" s="1" t="s">
        <v>628</v>
      </c>
      <c r="C296" s="1" t="s">
        <v>627</v>
      </c>
      <c r="D296" s="2" t="str">
        <f t="shared" si="4"/>
        <v>http://zfin.org/ZDB-GENE-091113-18</v>
      </c>
      <c r="E296" s="1" t="s">
        <v>7953</v>
      </c>
      <c r="F296" s="3">
        <v>8.3132691301698997E-6</v>
      </c>
      <c r="G296" s="1">
        <v>0.53071427017518302</v>
      </c>
      <c r="H296" s="1">
        <v>0.56999999999999995</v>
      </c>
      <c r="I296" s="1">
        <v>0.183</v>
      </c>
      <c r="J296" s="1">
        <v>1</v>
      </c>
    </row>
    <row r="297" spans="1:10" x14ac:dyDescent="0.2">
      <c r="A297" s="1" t="s">
        <v>2747</v>
      </c>
      <c r="B297" s="1" t="s">
        <v>7952</v>
      </c>
      <c r="C297" s="1" t="s">
        <v>7951</v>
      </c>
      <c r="D297" s="2" t="str">
        <f t="shared" si="4"/>
        <v>http://zfin.org/ZDB-GENE-060312-34</v>
      </c>
      <c r="E297" s="1" t="s">
        <v>7950</v>
      </c>
      <c r="F297" s="3">
        <v>9.6461067172685705E-5</v>
      </c>
      <c r="G297" s="1">
        <v>0.53296009261616895</v>
      </c>
      <c r="H297" s="1">
        <v>0.71099999999999997</v>
      </c>
      <c r="I297" s="1">
        <v>0.36699999999999999</v>
      </c>
      <c r="J297" s="1">
        <v>1</v>
      </c>
    </row>
    <row r="298" spans="1:10" x14ac:dyDescent="0.2">
      <c r="A298" s="1" t="s">
        <v>638</v>
      </c>
      <c r="B298" s="1" t="s">
        <v>637</v>
      </c>
      <c r="C298" s="1" t="s">
        <v>636</v>
      </c>
      <c r="D298" s="2" t="str">
        <f t="shared" si="4"/>
        <v>http://zfin.org/ZDB-GENE-111229-2</v>
      </c>
      <c r="E298" s="1" t="s">
        <v>7949</v>
      </c>
      <c r="F298" s="3">
        <v>6.5505194025662804E-7</v>
      </c>
      <c r="G298" s="1">
        <v>0.53325509670609195</v>
      </c>
      <c r="H298" s="1">
        <v>0.51800000000000002</v>
      </c>
      <c r="I298" s="1">
        <v>0.11700000000000001</v>
      </c>
      <c r="J298" s="1">
        <v>1</v>
      </c>
    </row>
    <row r="299" spans="1:10" x14ac:dyDescent="0.2">
      <c r="A299" s="1" t="s">
        <v>7948</v>
      </c>
      <c r="B299" s="1" t="s">
        <v>7947</v>
      </c>
      <c r="C299" s="1" t="s">
        <v>7946</v>
      </c>
      <c r="D299" s="2" t="str">
        <f t="shared" si="4"/>
        <v>http://zfin.org/ZDB-GENE-040426-2503</v>
      </c>
      <c r="E299" s="1" t="s">
        <v>7945</v>
      </c>
      <c r="F299" s="3">
        <v>3.6799015422884498E-5</v>
      </c>
      <c r="G299" s="1">
        <v>0.53334792147297405</v>
      </c>
      <c r="H299" s="1">
        <v>0.52600000000000002</v>
      </c>
      <c r="I299" s="1">
        <v>0.16700000000000001</v>
      </c>
      <c r="J299" s="1">
        <v>1</v>
      </c>
    </row>
    <row r="300" spans="1:10" x14ac:dyDescent="0.2">
      <c r="A300" s="1" t="s">
        <v>641</v>
      </c>
      <c r="B300" s="1" t="s">
        <v>640</v>
      </c>
      <c r="C300" s="1" t="s">
        <v>639</v>
      </c>
      <c r="D300" s="2" t="str">
        <f t="shared" si="4"/>
        <v>http://zfin.org/ZDB-GENE-040426-2737</v>
      </c>
      <c r="E300" s="1" t="s">
        <v>7944</v>
      </c>
      <c r="F300" s="3">
        <v>4.0170084917560101E-7</v>
      </c>
      <c r="G300" s="1">
        <v>0.53453543262320302</v>
      </c>
      <c r="H300" s="1">
        <v>0.36</v>
      </c>
      <c r="I300" s="1">
        <v>1.7000000000000001E-2</v>
      </c>
      <c r="J300" s="1">
        <v>1</v>
      </c>
    </row>
    <row r="301" spans="1:10" x14ac:dyDescent="0.2">
      <c r="A301" s="1" t="s">
        <v>635</v>
      </c>
      <c r="B301" s="1" t="s">
        <v>634</v>
      </c>
      <c r="C301" s="1" t="s">
        <v>633</v>
      </c>
      <c r="D301" s="2" t="str">
        <f t="shared" si="4"/>
        <v>http://zfin.org/ZDB-GENE-030131-5673</v>
      </c>
      <c r="E301" s="1" t="s">
        <v>7943</v>
      </c>
      <c r="F301" s="3">
        <v>2.2409285404252702E-8</v>
      </c>
      <c r="G301" s="1">
        <v>0.53885011630018498</v>
      </c>
      <c r="H301" s="1">
        <v>0.377</v>
      </c>
      <c r="I301" s="1">
        <v>3.3000000000000002E-2</v>
      </c>
      <c r="J301" s="1">
        <v>1</v>
      </c>
    </row>
    <row r="302" spans="1:10" x14ac:dyDescent="0.2">
      <c r="A302" s="1" t="s">
        <v>7942</v>
      </c>
      <c r="B302" s="1" t="s">
        <v>7941</v>
      </c>
      <c r="C302" s="1" t="s">
        <v>7940</v>
      </c>
      <c r="D302" s="2" t="str">
        <f t="shared" si="4"/>
        <v>http://zfin.org/ZDB-GENE-031030-4</v>
      </c>
      <c r="E302" s="1" t="s">
        <v>7939</v>
      </c>
      <c r="F302" s="3">
        <v>6.2673850651863796E-5</v>
      </c>
      <c r="G302" s="1">
        <v>0.53954473534841596</v>
      </c>
      <c r="H302" s="1">
        <v>0.78900000000000003</v>
      </c>
      <c r="I302" s="1">
        <v>0.46700000000000003</v>
      </c>
      <c r="J302" s="1">
        <v>1</v>
      </c>
    </row>
    <row r="303" spans="1:10" x14ac:dyDescent="0.2">
      <c r="A303" s="1" t="s">
        <v>1413</v>
      </c>
      <c r="B303" s="1" t="s">
        <v>1412</v>
      </c>
      <c r="C303" s="1" t="s">
        <v>1411</v>
      </c>
      <c r="D303" s="2" t="str">
        <f t="shared" si="4"/>
        <v>http://zfin.org/ZDB-GENE-030428-2</v>
      </c>
      <c r="E303" s="1" t="s">
        <v>7938</v>
      </c>
      <c r="F303" s="1">
        <v>1.85819135795812E-4</v>
      </c>
      <c r="G303" s="1">
        <v>0.54005752393897499</v>
      </c>
      <c r="H303" s="1">
        <v>0.623</v>
      </c>
      <c r="I303" s="1">
        <v>0.35</v>
      </c>
      <c r="J303" s="1">
        <v>1</v>
      </c>
    </row>
    <row r="304" spans="1:10" x14ac:dyDescent="0.2">
      <c r="A304" s="1" t="s">
        <v>347</v>
      </c>
      <c r="B304" s="1" t="s">
        <v>346</v>
      </c>
      <c r="C304" s="1" t="s">
        <v>345</v>
      </c>
      <c r="D304" s="2" t="str">
        <f t="shared" si="4"/>
        <v>http://zfin.org/ZDB-GENE-060929-1178</v>
      </c>
      <c r="E304" s="1" t="s">
        <v>7937</v>
      </c>
      <c r="F304" s="3">
        <v>7.8317979009603098E-5</v>
      </c>
      <c r="G304" s="1">
        <v>0.54286785565946505</v>
      </c>
      <c r="H304" s="1">
        <v>0.61399999999999999</v>
      </c>
      <c r="I304" s="1">
        <v>0.26700000000000002</v>
      </c>
      <c r="J304" s="1">
        <v>1</v>
      </c>
    </row>
    <row r="305" spans="1:10" x14ac:dyDescent="0.2">
      <c r="A305" s="1" t="s">
        <v>731</v>
      </c>
      <c r="B305" s="1" t="s">
        <v>730</v>
      </c>
      <c r="C305" s="1" t="s">
        <v>729</v>
      </c>
      <c r="D305" s="2" t="str">
        <f t="shared" si="4"/>
        <v>http://zfin.org/ZDB-GENE-040718-72</v>
      </c>
      <c r="E305" s="1" t="s">
        <v>7936</v>
      </c>
      <c r="F305" s="3">
        <v>3.7366373048923202E-8</v>
      </c>
      <c r="G305" s="1">
        <v>0.54615958911371099</v>
      </c>
      <c r="H305" s="1">
        <v>1</v>
      </c>
      <c r="I305" s="1">
        <v>1</v>
      </c>
      <c r="J305" s="1">
        <v>1</v>
      </c>
    </row>
    <row r="306" spans="1:10" x14ac:dyDescent="0.2">
      <c r="A306" s="1" t="s">
        <v>626</v>
      </c>
      <c r="B306" s="1" t="s">
        <v>625</v>
      </c>
      <c r="C306" s="1" t="s">
        <v>624</v>
      </c>
      <c r="D306" s="2" t="str">
        <f t="shared" si="4"/>
        <v>http://zfin.org/ZDB-GENE-030131-3027</v>
      </c>
      <c r="E306" s="1" t="s">
        <v>7935</v>
      </c>
      <c r="F306" s="3">
        <v>2.0471899173631999E-6</v>
      </c>
      <c r="G306" s="1">
        <v>0.547077928511297</v>
      </c>
      <c r="H306" s="1">
        <v>0.79800000000000004</v>
      </c>
      <c r="I306" s="1">
        <v>0.4</v>
      </c>
      <c r="J306" s="1">
        <v>1</v>
      </c>
    </row>
    <row r="307" spans="1:10" x14ac:dyDescent="0.2">
      <c r="A307" s="1" t="s">
        <v>632</v>
      </c>
      <c r="B307" s="1" t="s">
        <v>631</v>
      </c>
      <c r="C307" s="1" t="s">
        <v>630</v>
      </c>
      <c r="D307" s="2" t="str">
        <f t="shared" si="4"/>
        <v>http://zfin.org/ZDB-GENE-030131-5606</v>
      </c>
      <c r="E307" s="1" t="s">
        <v>7934</v>
      </c>
      <c r="F307" s="3">
        <v>1.82093219417255E-6</v>
      </c>
      <c r="G307" s="1">
        <v>0.54845122317547401</v>
      </c>
      <c r="H307" s="1">
        <v>0.78900000000000003</v>
      </c>
      <c r="I307" s="1">
        <v>0.38300000000000001</v>
      </c>
      <c r="J307" s="1">
        <v>1</v>
      </c>
    </row>
    <row r="308" spans="1:10" x14ac:dyDescent="0.2">
      <c r="A308" s="1" t="s">
        <v>7933</v>
      </c>
      <c r="B308" s="1" t="s">
        <v>7932</v>
      </c>
      <c r="C308" s="1" t="s">
        <v>7931</v>
      </c>
      <c r="D308" s="2" t="str">
        <f t="shared" si="4"/>
        <v>http://zfin.org/ZDB-GENE-050417-212</v>
      </c>
      <c r="E308" s="1" t="s">
        <v>7930</v>
      </c>
      <c r="F308" s="1">
        <v>3.0390402765401001E-3</v>
      </c>
      <c r="G308" s="1">
        <v>0.55508891656131498</v>
      </c>
      <c r="H308" s="1">
        <v>0.51800000000000002</v>
      </c>
      <c r="I308" s="1">
        <v>0.3</v>
      </c>
      <c r="J308" s="1">
        <v>1</v>
      </c>
    </row>
    <row r="309" spans="1:10" x14ac:dyDescent="0.2">
      <c r="A309" s="1" t="s">
        <v>653</v>
      </c>
      <c r="B309" s="1" t="s">
        <v>652</v>
      </c>
      <c r="C309" s="1" t="s">
        <v>651</v>
      </c>
      <c r="D309" s="2" t="str">
        <f t="shared" si="4"/>
        <v>http://zfin.org/ZDB-GENE-031118-20</v>
      </c>
      <c r="E309" s="1" t="s">
        <v>7929</v>
      </c>
      <c r="F309" s="3">
        <v>8.5506853632053503E-7</v>
      </c>
      <c r="G309" s="1">
        <v>0.555178648601373</v>
      </c>
      <c r="H309" s="1">
        <v>0.59599999999999997</v>
      </c>
      <c r="I309" s="1">
        <v>0.183</v>
      </c>
      <c r="J309" s="1">
        <v>1</v>
      </c>
    </row>
    <row r="310" spans="1:10" x14ac:dyDescent="0.2">
      <c r="A310" s="1" t="s">
        <v>359</v>
      </c>
      <c r="B310" s="1" t="s">
        <v>358</v>
      </c>
      <c r="C310" s="1" t="s">
        <v>357</v>
      </c>
      <c r="D310" s="2" t="str">
        <f t="shared" si="4"/>
        <v>http://zfin.org/ZDB-GENE-060526-175</v>
      </c>
      <c r="E310" s="1" t="s">
        <v>7928</v>
      </c>
      <c r="F310" s="3">
        <v>2.74617538716154E-6</v>
      </c>
      <c r="G310" s="1">
        <v>0.55543193772044197</v>
      </c>
      <c r="H310" s="1">
        <v>0.64900000000000002</v>
      </c>
      <c r="I310" s="1">
        <v>0.23300000000000001</v>
      </c>
      <c r="J310" s="1">
        <v>1</v>
      </c>
    </row>
    <row r="311" spans="1:10" x14ac:dyDescent="0.2">
      <c r="A311" s="1" t="s">
        <v>415</v>
      </c>
      <c r="B311" s="1" t="s">
        <v>414</v>
      </c>
      <c r="C311" s="1" t="s">
        <v>413</v>
      </c>
      <c r="D311" s="2" t="str">
        <f t="shared" si="4"/>
        <v>http://zfin.org/ZDB-GENE-050417-153</v>
      </c>
      <c r="E311" s="1" t="s">
        <v>7927</v>
      </c>
      <c r="F311" s="3">
        <v>3.2583719210607303E-7</v>
      </c>
      <c r="G311" s="1">
        <v>0.55767694312509997</v>
      </c>
      <c r="H311" s="1">
        <v>0.71899999999999997</v>
      </c>
      <c r="I311" s="1">
        <v>0.317</v>
      </c>
      <c r="J311" s="1">
        <v>1</v>
      </c>
    </row>
    <row r="312" spans="1:10" x14ac:dyDescent="0.2">
      <c r="A312" s="1" t="s">
        <v>7926</v>
      </c>
      <c r="B312" s="1" t="s">
        <v>7925</v>
      </c>
      <c r="C312" s="1" t="s">
        <v>7924</v>
      </c>
      <c r="D312" s="2" t="str">
        <f t="shared" si="4"/>
        <v>http://zfin.org/ZDB-GENE-060526-280</v>
      </c>
      <c r="E312" s="1" t="s">
        <v>7923</v>
      </c>
      <c r="F312" s="1">
        <v>4.1134682965879903E-2</v>
      </c>
      <c r="G312" s="1">
        <v>0.55775413146799802</v>
      </c>
      <c r="H312" s="1">
        <v>0.29799999999999999</v>
      </c>
      <c r="I312" s="1">
        <v>0.11700000000000001</v>
      </c>
      <c r="J312" s="1">
        <v>1</v>
      </c>
    </row>
    <row r="313" spans="1:10" x14ac:dyDescent="0.2">
      <c r="A313" s="1" t="s">
        <v>710</v>
      </c>
      <c r="B313" s="1" t="s">
        <v>709</v>
      </c>
      <c r="C313" s="1" t="s">
        <v>708</v>
      </c>
      <c r="D313" s="2" t="str">
        <f t="shared" si="4"/>
        <v>http://zfin.org/ZDB-GENE-091204-322</v>
      </c>
      <c r="E313" s="1" t="s">
        <v>7922</v>
      </c>
      <c r="F313" s="3">
        <v>5.6935220389473998E-10</v>
      </c>
      <c r="G313" s="1">
        <v>0.55825926582358998</v>
      </c>
      <c r="H313" s="1">
        <v>0.61399999999999999</v>
      </c>
      <c r="I313" s="1">
        <v>0.11700000000000001</v>
      </c>
      <c r="J313" s="1">
        <v>1</v>
      </c>
    </row>
    <row r="314" spans="1:10" x14ac:dyDescent="0.2">
      <c r="A314" s="1" t="s">
        <v>341</v>
      </c>
      <c r="B314" s="1" t="s">
        <v>340</v>
      </c>
      <c r="C314" s="1" t="s">
        <v>339</v>
      </c>
      <c r="D314" s="2" t="str">
        <f t="shared" si="4"/>
        <v>http://zfin.org/ZDB-GENE-030131-7806</v>
      </c>
      <c r="E314" s="1" t="s">
        <v>7921</v>
      </c>
      <c r="F314" s="3">
        <v>5.6839793934614299E-9</v>
      </c>
      <c r="G314" s="1">
        <v>0.56416151069602005</v>
      </c>
      <c r="H314" s="1">
        <v>0.81599999999999995</v>
      </c>
      <c r="I314" s="1">
        <v>0.33300000000000002</v>
      </c>
      <c r="J314" s="1">
        <v>1</v>
      </c>
    </row>
    <row r="315" spans="1:10" x14ac:dyDescent="0.2">
      <c r="A315" s="1" t="s">
        <v>7920</v>
      </c>
      <c r="B315" s="1" t="s">
        <v>7919</v>
      </c>
      <c r="C315" s="1" t="s">
        <v>7918</v>
      </c>
      <c r="D315" s="2" t="str">
        <f t="shared" si="4"/>
        <v>http://zfin.org/ZDB-GENE-070615-27</v>
      </c>
      <c r="E315" s="1" t="s">
        <v>7917</v>
      </c>
      <c r="F315" s="3">
        <v>7.3935769452469498E-9</v>
      </c>
      <c r="G315" s="1">
        <v>0.56509554974185106</v>
      </c>
      <c r="H315" s="1">
        <v>0.69299999999999995</v>
      </c>
      <c r="I315" s="1">
        <v>0.2</v>
      </c>
      <c r="J315" s="1">
        <v>1</v>
      </c>
    </row>
    <row r="316" spans="1:10" x14ac:dyDescent="0.2">
      <c r="A316" s="1" t="s">
        <v>665</v>
      </c>
      <c r="B316" s="1" t="s">
        <v>664</v>
      </c>
      <c r="C316" s="1" t="s">
        <v>663</v>
      </c>
      <c r="D316" s="2" t="str">
        <f t="shared" si="4"/>
        <v>http://zfin.org/ZDB-GENE-050320-11</v>
      </c>
      <c r="E316" s="1" t="s">
        <v>7916</v>
      </c>
      <c r="F316" s="3">
        <v>4.19310371676039E-8</v>
      </c>
      <c r="G316" s="1">
        <v>0.56899710649896995</v>
      </c>
      <c r="H316" s="1">
        <v>0.43</v>
      </c>
      <c r="I316" s="1">
        <v>3.3000000000000002E-2</v>
      </c>
      <c r="J316" s="1">
        <v>1</v>
      </c>
    </row>
    <row r="317" spans="1:10" x14ac:dyDescent="0.2">
      <c r="A317" s="1" t="s">
        <v>7915</v>
      </c>
      <c r="B317" s="1" t="s">
        <v>7914</v>
      </c>
      <c r="D317" s="2" t="str">
        <f t="shared" si="4"/>
        <v>http://zfin.org/</v>
      </c>
      <c r="E317" s="1" t="s">
        <v>4625</v>
      </c>
      <c r="F317" s="1">
        <v>2.43139555624553E-4</v>
      </c>
      <c r="G317" s="1">
        <v>0.57534104605782399</v>
      </c>
      <c r="H317" s="1">
        <v>0.184</v>
      </c>
      <c r="I317" s="1">
        <v>0</v>
      </c>
      <c r="J317" s="1">
        <v>1</v>
      </c>
    </row>
    <row r="318" spans="1:10" x14ac:dyDescent="0.2">
      <c r="A318" s="1" t="s">
        <v>469</v>
      </c>
      <c r="B318" s="1" t="s">
        <v>468</v>
      </c>
      <c r="C318" s="1" t="s">
        <v>7913</v>
      </c>
      <c r="D318" s="2" t="str">
        <f t="shared" si="4"/>
        <v>http://zfin.org/</v>
      </c>
      <c r="E318" s="1" t="s">
        <v>4625</v>
      </c>
      <c r="F318" s="3">
        <v>1.7010164407334199E-7</v>
      </c>
      <c r="G318" s="1">
        <v>0.57696241112532898</v>
      </c>
      <c r="H318" s="1">
        <v>0.84199999999999997</v>
      </c>
      <c r="I318" s="1">
        <v>0.433</v>
      </c>
      <c r="J318" s="1">
        <v>1</v>
      </c>
    </row>
    <row r="319" spans="1:10" x14ac:dyDescent="0.2">
      <c r="A319" s="1" t="s">
        <v>365</v>
      </c>
      <c r="B319" s="1" t="s">
        <v>364</v>
      </c>
      <c r="C319" s="1" t="s">
        <v>363</v>
      </c>
      <c r="D319" s="2" t="str">
        <f t="shared" si="4"/>
        <v>http://zfin.org/ZDB-GENE-131105-1</v>
      </c>
      <c r="E319" s="1" t="s">
        <v>7912</v>
      </c>
      <c r="F319" s="3">
        <v>1.3704098161339001E-6</v>
      </c>
      <c r="G319" s="1">
        <v>0.58250303764016598</v>
      </c>
      <c r="H319" s="1">
        <v>0.68400000000000005</v>
      </c>
      <c r="I319" s="1">
        <v>0.26700000000000002</v>
      </c>
      <c r="J319" s="1">
        <v>1</v>
      </c>
    </row>
    <row r="320" spans="1:10" x14ac:dyDescent="0.2">
      <c r="A320" s="1" t="s">
        <v>7911</v>
      </c>
      <c r="B320" s="1" t="s">
        <v>7910</v>
      </c>
      <c r="C320" s="1" t="s">
        <v>7909</v>
      </c>
      <c r="D320" s="2" t="str">
        <f t="shared" si="4"/>
        <v>http://zfin.org/ZDB-GENE-070209-41</v>
      </c>
      <c r="E320" s="1" t="s">
        <v>7908</v>
      </c>
      <c r="F320" s="3">
        <v>1.9910856022361701E-6</v>
      </c>
      <c r="G320" s="1">
        <v>0.58395645218944103</v>
      </c>
      <c r="H320" s="1">
        <v>0.33300000000000002</v>
      </c>
      <c r="I320" s="1">
        <v>1.7000000000000001E-2</v>
      </c>
      <c r="J320" s="1">
        <v>1</v>
      </c>
    </row>
    <row r="321" spans="1:10" x14ac:dyDescent="0.2">
      <c r="A321" s="1" t="s">
        <v>7907</v>
      </c>
      <c r="B321" s="1" t="s">
        <v>7906</v>
      </c>
      <c r="C321" s="1" t="s">
        <v>7905</v>
      </c>
      <c r="D321" s="2" t="str">
        <f t="shared" si="4"/>
        <v>http://zfin.org/ZDB-GENE-040426-706</v>
      </c>
      <c r="E321" s="1" t="s">
        <v>7904</v>
      </c>
      <c r="F321" s="3">
        <v>1.38647352714475E-5</v>
      </c>
      <c r="G321" s="1">
        <v>0.58446624762571897</v>
      </c>
      <c r="H321" s="1">
        <v>0.76300000000000001</v>
      </c>
      <c r="I321" s="1">
        <v>0.41699999999999998</v>
      </c>
      <c r="J321" s="1">
        <v>1</v>
      </c>
    </row>
    <row r="322" spans="1:10" x14ac:dyDescent="0.2">
      <c r="A322" s="1" t="s">
        <v>716</v>
      </c>
      <c r="B322" s="1" t="s">
        <v>715</v>
      </c>
      <c r="C322" s="1" t="s">
        <v>714</v>
      </c>
      <c r="D322" s="2" t="str">
        <f t="shared" ref="D322:D385" si="5">HYPERLINK(E322)</f>
        <v>http://zfin.org/ZDB-GENE-070912-397</v>
      </c>
      <c r="E322" s="1" t="s">
        <v>7903</v>
      </c>
      <c r="F322" s="3">
        <v>5.7896647553447101E-8</v>
      </c>
      <c r="G322" s="1">
        <v>0.58676067390225595</v>
      </c>
      <c r="H322" s="1">
        <v>0.86799999999999999</v>
      </c>
      <c r="I322" s="1">
        <v>0.51700000000000002</v>
      </c>
      <c r="J322" s="1">
        <v>1</v>
      </c>
    </row>
    <row r="323" spans="1:10" x14ac:dyDescent="0.2">
      <c r="A323" s="1" t="s">
        <v>335</v>
      </c>
      <c r="B323" s="1" t="s">
        <v>334</v>
      </c>
      <c r="C323" s="1" t="s">
        <v>333</v>
      </c>
      <c r="D323" s="2" t="str">
        <f t="shared" si="5"/>
        <v>http://zfin.org/ZDB-GENE-070705-179</v>
      </c>
      <c r="E323" s="1" t="s">
        <v>7902</v>
      </c>
      <c r="F323" s="3">
        <v>1.5784949926150399E-7</v>
      </c>
      <c r="G323" s="1">
        <v>0.59181249924855495</v>
      </c>
      <c r="H323" s="1">
        <v>0.64900000000000002</v>
      </c>
      <c r="I323" s="1">
        <v>0.2</v>
      </c>
      <c r="J323" s="1">
        <v>1</v>
      </c>
    </row>
    <row r="324" spans="1:10" x14ac:dyDescent="0.2">
      <c r="A324" s="1" t="s">
        <v>656</v>
      </c>
      <c r="B324" s="1" t="s">
        <v>655</v>
      </c>
      <c r="C324" s="1" t="s">
        <v>654</v>
      </c>
      <c r="D324" s="2" t="str">
        <f t="shared" si="5"/>
        <v>http://zfin.org/ZDB-GENE-031201-4</v>
      </c>
      <c r="E324" s="1" t="s">
        <v>7901</v>
      </c>
      <c r="F324" s="3">
        <v>4.6190254255235902E-8</v>
      </c>
      <c r="G324" s="1">
        <v>0.595484673842269</v>
      </c>
      <c r="H324" s="1">
        <v>0.88600000000000001</v>
      </c>
      <c r="I324" s="1">
        <v>0.48299999999999998</v>
      </c>
      <c r="J324" s="1">
        <v>1</v>
      </c>
    </row>
    <row r="325" spans="1:10" x14ac:dyDescent="0.2">
      <c r="A325" s="1" t="s">
        <v>617</v>
      </c>
      <c r="B325" s="1" t="s">
        <v>616</v>
      </c>
      <c r="C325" s="1" t="s">
        <v>615</v>
      </c>
      <c r="D325" s="2" t="str">
        <f t="shared" si="5"/>
        <v>http://zfin.org/ZDB-GENE-031222-5</v>
      </c>
      <c r="E325" s="1" t="s">
        <v>7900</v>
      </c>
      <c r="F325" s="3">
        <v>5.4993094311111401E-8</v>
      </c>
      <c r="G325" s="1">
        <v>0.59651411530700205</v>
      </c>
      <c r="H325" s="1">
        <v>0.39500000000000002</v>
      </c>
      <c r="I325" s="1">
        <v>0.05</v>
      </c>
      <c r="J325" s="1">
        <v>1</v>
      </c>
    </row>
    <row r="326" spans="1:10" x14ac:dyDescent="0.2">
      <c r="A326" s="1" t="s">
        <v>403</v>
      </c>
      <c r="B326" s="1" t="s">
        <v>402</v>
      </c>
      <c r="C326" s="1" t="s">
        <v>401</v>
      </c>
      <c r="D326" s="2" t="str">
        <f t="shared" si="5"/>
        <v>http://zfin.org/ZDB-GENE-060825-242</v>
      </c>
      <c r="E326" s="1" t="s">
        <v>7899</v>
      </c>
      <c r="F326" s="3">
        <v>1.2886491645950899E-7</v>
      </c>
      <c r="G326" s="1">
        <v>0.60650229613996298</v>
      </c>
      <c r="H326" s="1">
        <v>0.71099999999999997</v>
      </c>
      <c r="I326" s="1">
        <v>0.26700000000000002</v>
      </c>
      <c r="J326" s="1">
        <v>1</v>
      </c>
    </row>
    <row r="327" spans="1:10" x14ac:dyDescent="0.2">
      <c r="A327" s="1" t="s">
        <v>611</v>
      </c>
      <c r="B327" s="1" t="s">
        <v>610</v>
      </c>
      <c r="C327" s="1" t="s">
        <v>609</v>
      </c>
      <c r="D327" s="2" t="str">
        <f t="shared" si="5"/>
        <v>http://zfin.org/ZDB-GENE-070209-295</v>
      </c>
      <c r="E327" s="1" t="s">
        <v>7898</v>
      </c>
      <c r="F327" s="3">
        <v>1.9616529984379302E-6</v>
      </c>
      <c r="G327" s="1">
        <v>0.61897502871194399</v>
      </c>
      <c r="H327" s="1">
        <v>0.439</v>
      </c>
      <c r="I327" s="1">
        <v>8.3000000000000004E-2</v>
      </c>
      <c r="J327" s="1">
        <v>1</v>
      </c>
    </row>
    <row r="328" spans="1:10" x14ac:dyDescent="0.2">
      <c r="A328" s="1" t="s">
        <v>397</v>
      </c>
      <c r="B328" s="1" t="s">
        <v>7897</v>
      </c>
      <c r="D328" s="2" t="str">
        <f t="shared" si="5"/>
        <v>http://zfin.org/</v>
      </c>
      <c r="E328" s="1" t="s">
        <v>4625</v>
      </c>
      <c r="F328" s="3">
        <v>2.0070732454523099E-7</v>
      </c>
      <c r="G328" s="1">
        <v>0.62756119780872999</v>
      </c>
      <c r="H328" s="1">
        <v>0.70199999999999996</v>
      </c>
      <c r="I328" s="1">
        <v>0.25</v>
      </c>
      <c r="J328" s="1">
        <v>1</v>
      </c>
    </row>
    <row r="329" spans="1:10" x14ac:dyDescent="0.2">
      <c r="A329" s="1" t="s">
        <v>677</v>
      </c>
      <c r="B329" s="1" t="s">
        <v>676</v>
      </c>
      <c r="C329" s="1" t="s">
        <v>675</v>
      </c>
      <c r="D329" s="2" t="str">
        <f t="shared" si="5"/>
        <v>http://zfin.org/ZDB-GENE-030131-6136</v>
      </c>
      <c r="E329" s="1" t="s">
        <v>7896</v>
      </c>
      <c r="F329" s="3">
        <v>2.3368205011110199E-7</v>
      </c>
      <c r="G329" s="1">
        <v>0.63966943560898804</v>
      </c>
      <c r="H329" s="1">
        <v>0.60499999999999998</v>
      </c>
      <c r="I329" s="1">
        <v>0.16700000000000001</v>
      </c>
      <c r="J329" s="1">
        <v>1</v>
      </c>
    </row>
    <row r="330" spans="1:10" x14ac:dyDescent="0.2">
      <c r="A330" s="1" t="s">
        <v>356</v>
      </c>
      <c r="B330" s="1" t="s">
        <v>355</v>
      </c>
      <c r="C330" s="1" t="s">
        <v>354</v>
      </c>
      <c r="D330" s="2" t="str">
        <f t="shared" si="5"/>
        <v>http://zfin.org/ZDB-GENE-000412-1</v>
      </c>
      <c r="E330" s="1" t="s">
        <v>7895</v>
      </c>
      <c r="F330" s="3">
        <v>1.21206040603575E-7</v>
      </c>
      <c r="G330" s="1">
        <v>0.64288091869075403</v>
      </c>
      <c r="H330" s="1">
        <v>0.86</v>
      </c>
      <c r="I330" s="1">
        <v>0.45</v>
      </c>
      <c r="J330" s="1">
        <v>1</v>
      </c>
    </row>
    <row r="331" spans="1:10" x14ac:dyDescent="0.2">
      <c r="A331" s="1" t="s">
        <v>671</v>
      </c>
      <c r="B331" s="1" t="s">
        <v>670</v>
      </c>
      <c r="C331" s="1" t="s">
        <v>669</v>
      </c>
      <c r="D331" s="2" t="str">
        <f t="shared" si="5"/>
        <v>http://zfin.org/ZDB-GENE-040319-2</v>
      </c>
      <c r="E331" s="1" t="s">
        <v>7894</v>
      </c>
      <c r="F331" s="3">
        <v>2.54892505731736E-7</v>
      </c>
      <c r="G331" s="1">
        <v>0.64898974996222403</v>
      </c>
      <c r="H331" s="1">
        <v>0.68400000000000005</v>
      </c>
      <c r="I331" s="1">
        <v>0.23300000000000001</v>
      </c>
      <c r="J331" s="1">
        <v>1</v>
      </c>
    </row>
    <row r="332" spans="1:10" x14ac:dyDescent="0.2">
      <c r="A332" s="1" t="s">
        <v>722</v>
      </c>
      <c r="B332" s="1" t="s">
        <v>721</v>
      </c>
      <c r="C332" s="1" t="s">
        <v>720</v>
      </c>
      <c r="D332" s="2" t="str">
        <f t="shared" si="5"/>
        <v>http://zfin.org/ZDB-GENE-040317-1</v>
      </c>
      <c r="E332" s="1" t="s">
        <v>7893</v>
      </c>
      <c r="F332" s="3">
        <v>2.20005620413895E-11</v>
      </c>
      <c r="G332" s="1">
        <v>0.65618005626882203</v>
      </c>
      <c r="H332" s="1">
        <v>0.53500000000000003</v>
      </c>
      <c r="I332" s="1">
        <v>8.3000000000000004E-2</v>
      </c>
      <c r="J332" s="1">
        <v>1</v>
      </c>
    </row>
    <row r="333" spans="1:10" x14ac:dyDescent="0.2">
      <c r="A333" s="1" t="s">
        <v>686</v>
      </c>
      <c r="B333" s="1" t="s">
        <v>685</v>
      </c>
      <c r="C333" s="1" t="s">
        <v>684</v>
      </c>
      <c r="D333" s="2" t="str">
        <f t="shared" si="5"/>
        <v>http://zfin.org/ZDB-GENE-131121-219</v>
      </c>
      <c r="E333" s="1" t="s">
        <v>7892</v>
      </c>
      <c r="F333" s="3">
        <v>3.1682226587840903E-8</v>
      </c>
      <c r="G333" s="1">
        <v>0.65818984382731405</v>
      </c>
      <c r="H333" s="1">
        <v>0.59599999999999997</v>
      </c>
      <c r="I333" s="1">
        <v>0.13300000000000001</v>
      </c>
      <c r="J333" s="1">
        <v>1</v>
      </c>
    </row>
    <row r="334" spans="1:10" x14ac:dyDescent="0.2">
      <c r="A334" s="1" t="s">
        <v>689</v>
      </c>
      <c r="B334" s="1" t="s">
        <v>688</v>
      </c>
      <c r="C334" s="1" t="s">
        <v>687</v>
      </c>
      <c r="D334" s="2" t="str">
        <f t="shared" si="5"/>
        <v>http://zfin.org/ZDB-GENE-040426-687</v>
      </c>
      <c r="E334" s="1" t="s">
        <v>7891</v>
      </c>
      <c r="F334" s="3">
        <v>8.0258619323076695E-8</v>
      </c>
      <c r="G334" s="1">
        <v>0.65842931288264595</v>
      </c>
      <c r="H334" s="1">
        <v>0.71899999999999997</v>
      </c>
      <c r="I334" s="1">
        <v>0.28299999999999997</v>
      </c>
      <c r="J334" s="1">
        <v>1</v>
      </c>
    </row>
    <row r="335" spans="1:10" x14ac:dyDescent="0.2">
      <c r="A335" s="1" t="s">
        <v>704</v>
      </c>
      <c r="B335" s="1" t="s">
        <v>703</v>
      </c>
      <c r="C335" s="1" t="s">
        <v>702</v>
      </c>
      <c r="D335" s="2" t="str">
        <f t="shared" si="5"/>
        <v>http://zfin.org/ZDB-GENE-030131-8542</v>
      </c>
      <c r="E335" s="1" t="s">
        <v>7890</v>
      </c>
      <c r="F335" s="3">
        <v>6.9788817152026203E-8</v>
      </c>
      <c r="G335" s="1">
        <v>0.66022796168197795</v>
      </c>
      <c r="H335" s="1">
        <v>0.65800000000000003</v>
      </c>
      <c r="I335" s="1">
        <v>0.2</v>
      </c>
      <c r="J335" s="1">
        <v>1</v>
      </c>
    </row>
    <row r="336" spans="1:10" x14ac:dyDescent="0.2">
      <c r="A336" s="1" t="s">
        <v>692</v>
      </c>
      <c r="B336" s="1" t="s">
        <v>691</v>
      </c>
      <c r="C336" s="1" t="s">
        <v>690</v>
      </c>
      <c r="D336" s="2" t="str">
        <f t="shared" si="5"/>
        <v>http://zfin.org/ZDB-GENE-041210-60</v>
      </c>
      <c r="E336" s="1" t="s">
        <v>7889</v>
      </c>
      <c r="F336" s="3">
        <v>6.2715662132090601E-8</v>
      </c>
      <c r="G336" s="1">
        <v>0.66397600003809398</v>
      </c>
      <c r="H336" s="1">
        <v>0.91200000000000003</v>
      </c>
      <c r="I336" s="1">
        <v>0.58299999999999996</v>
      </c>
      <c r="J336" s="1">
        <v>1</v>
      </c>
    </row>
    <row r="337" spans="1:10" x14ac:dyDescent="0.2">
      <c r="A337" s="1" t="s">
        <v>442</v>
      </c>
      <c r="B337" s="1" t="s">
        <v>441</v>
      </c>
      <c r="C337" s="1" t="s">
        <v>440</v>
      </c>
      <c r="D337" s="2" t="str">
        <f t="shared" si="5"/>
        <v>http://zfin.org/ZDB-GENE-050208-657</v>
      </c>
      <c r="E337" s="1" t="s">
        <v>7888</v>
      </c>
      <c r="F337" s="3">
        <v>1.5571438913284801E-7</v>
      </c>
      <c r="G337" s="1">
        <v>0.66426156372555101</v>
      </c>
      <c r="H337" s="1">
        <v>0.746</v>
      </c>
      <c r="I337" s="1">
        <v>0.3</v>
      </c>
      <c r="J337" s="1">
        <v>1</v>
      </c>
    </row>
    <row r="338" spans="1:10" x14ac:dyDescent="0.2">
      <c r="A338" s="1" t="s">
        <v>475</v>
      </c>
      <c r="B338" s="1" t="s">
        <v>474</v>
      </c>
      <c r="C338" s="1" t="s">
        <v>473</v>
      </c>
      <c r="D338" s="2" t="str">
        <f t="shared" si="5"/>
        <v>http://zfin.org/ZDB-GENE-040426-1903</v>
      </c>
      <c r="E338" s="1" t="s">
        <v>7887</v>
      </c>
      <c r="F338" s="3">
        <v>1.29664942645532E-8</v>
      </c>
      <c r="G338" s="1">
        <v>0.67384989586836397</v>
      </c>
      <c r="H338" s="1">
        <v>0.84199999999999997</v>
      </c>
      <c r="I338" s="1">
        <v>0.41699999999999998</v>
      </c>
      <c r="J338" s="1">
        <v>1</v>
      </c>
    </row>
    <row r="339" spans="1:10" x14ac:dyDescent="0.2">
      <c r="A339" s="1" t="s">
        <v>7886</v>
      </c>
      <c r="B339" s="1" t="s">
        <v>7885</v>
      </c>
      <c r="C339" s="1" t="s">
        <v>7884</v>
      </c>
      <c r="D339" s="2" t="str">
        <f t="shared" si="5"/>
        <v>http://zfin.org/ZDB-GENE-030131-7540</v>
      </c>
      <c r="E339" s="1" t="s">
        <v>7883</v>
      </c>
      <c r="F339" s="3">
        <v>5.96541331875982E-5</v>
      </c>
      <c r="G339" s="1">
        <v>0.67794220553329998</v>
      </c>
      <c r="H339" s="1">
        <v>0.86799999999999999</v>
      </c>
      <c r="I339" s="1">
        <v>0.58299999999999996</v>
      </c>
      <c r="J339" s="1">
        <v>1</v>
      </c>
    </row>
    <row r="340" spans="1:10" x14ac:dyDescent="0.2">
      <c r="A340" s="1" t="s">
        <v>1717</v>
      </c>
      <c r="B340" s="1" t="s">
        <v>1716</v>
      </c>
      <c r="C340" s="1" t="s">
        <v>1715</v>
      </c>
      <c r="D340" s="2" t="str">
        <f t="shared" si="5"/>
        <v>http://zfin.org/ZDB-GENE-030131-3133</v>
      </c>
      <c r="E340" s="1" t="s">
        <v>7882</v>
      </c>
      <c r="F340" s="3">
        <v>4.2692598903123597E-5</v>
      </c>
      <c r="G340" s="1">
        <v>0.68467951394077797</v>
      </c>
      <c r="H340" s="1">
        <v>0.43</v>
      </c>
      <c r="I340" s="1">
        <v>0.11700000000000001</v>
      </c>
      <c r="J340" s="1">
        <v>1</v>
      </c>
    </row>
    <row r="341" spans="1:10" x14ac:dyDescent="0.2">
      <c r="A341" s="1" t="s">
        <v>779</v>
      </c>
      <c r="B341" s="1" t="s">
        <v>778</v>
      </c>
      <c r="C341" s="1" t="s">
        <v>777</v>
      </c>
      <c r="D341" s="2" t="str">
        <f t="shared" si="5"/>
        <v>http://zfin.org/ZDB-GENE-030723-2</v>
      </c>
      <c r="E341" s="1" t="s">
        <v>7881</v>
      </c>
      <c r="F341" s="3">
        <v>9.2252819560708803E-14</v>
      </c>
      <c r="G341" s="1">
        <v>0.68562994279253198</v>
      </c>
      <c r="H341" s="1">
        <v>0.99099999999999999</v>
      </c>
      <c r="I341" s="1">
        <v>0.85</v>
      </c>
      <c r="J341" s="1">
        <v>1</v>
      </c>
    </row>
    <row r="342" spans="1:10" x14ac:dyDescent="0.2">
      <c r="A342" s="1" t="s">
        <v>659</v>
      </c>
      <c r="B342" s="1" t="s">
        <v>658</v>
      </c>
      <c r="C342" s="1" t="s">
        <v>657</v>
      </c>
      <c r="D342" s="2" t="str">
        <f t="shared" si="5"/>
        <v>http://zfin.org/ZDB-GENE-090313-53</v>
      </c>
      <c r="E342" s="1" t="s">
        <v>7880</v>
      </c>
      <c r="F342" s="3">
        <v>5.5693484244401402E-7</v>
      </c>
      <c r="G342" s="1">
        <v>0.692330153048483</v>
      </c>
      <c r="H342" s="1">
        <v>0.54400000000000004</v>
      </c>
      <c r="I342" s="1">
        <v>0.13300000000000001</v>
      </c>
      <c r="J342" s="1">
        <v>1</v>
      </c>
    </row>
    <row r="343" spans="1:10" x14ac:dyDescent="0.2">
      <c r="A343" s="1" t="s">
        <v>746</v>
      </c>
      <c r="B343" s="1" t="s">
        <v>745</v>
      </c>
      <c r="C343" s="1" t="s">
        <v>744</v>
      </c>
      <c r="D343" s="2" t="str">
        <f t="shared" si="5"/>
        <v>http://zfin.org/ZDB-GENE-040426-2542</v>
      </c>
      <c r="E343" s="1" t="s">
        <v>7879</v>
      </c>
      <c r="F343" s="3">
        <v>1.4291161588611801E-11</v>
      </c>
      <c r="G343" s="1">
        <v>0.69758542120171596</v>
      </c>
      <c r="H343" s="1">
        <v>0.53500000000000003</v>
      </c>
      <c r="I343" s="1">
        <v>0.05</v>
      </c>
      <c r="J343" s="1">
        <v>1</v>
      </c>
    </row>
    <row r="344" spans="1:10" x14ac:dyDescent="0.2">
      <c r="A344" s="1" t="s">
        <v>662</v>
      </c>
      <c r="B344" s="1" t="s">
        <v>661</v>
      </c>
      <c r="C344" s="1" t="s">
        <v>660</v>
      </c>
      <c r="D344" s="2" t="str">
        <f t="shared" si="5"/>
        <v>http://zfin.org/ZDB-GENE-050309-14</v>
      </c>
      <c r="E344" s="1" t="s">
        <v>7878</v>
      </c>
      <c r="F344" s="3">
        <v>3.3924473915721101E-7</v>
      </c>
      <c r="G344" s="1">
        <v>0.69856285427583897</v>
      </c>
      <c r="H344" s="1">
        <v>0.81599999999999995</v>
      </c>
      <c r="I344" s="1">
        <v>0.4</v>
      </c>
      <c r="J344" s="1">
        <v>1</v>
      </c>
    </row>
    <row r="345" spans="1:10" x14ac:dyDescent="0.2">
      <c r="A345" s="1" t="s">
        <v>707</v>
      </c>
      <c r="B345" s="1" t="s">
        <v>706</v>
      </c>
      <c r="C345" s="1" t="s">
        <v>705</v>
      </c>
      <c r="D345" s="2" t="str">
        <f t="shared" si="5"/>
        <v>http://zfin.org/ZDB-GENE-070112-972</v>
      </c>
      <c r="E345" s="1" t="s">
        <v>7877</v>
      </c>
      <c r="F345" s="3">
        <v>9.9402647515767295E-9</v>
      </c>
      <c r="G345" s="1">
        <v>0.70244335889036802</v>
      </c>
      <c r="H345" s="1">
        <v>0.52600000000000002</v>
      </c>
      <c r="I345" s="1">
        <v>8.3000000000000004E-2</v>
      </c>
      <c r="J345" s="1">
        <v>1</v>
      </c>
    </row>
    <row r="346" spans="1:10" x14ac:dyDescent="0.2">
      <c r="A346" s="1" t="s">
        <v>205</v>
      </c>
      <c r="B346" s="1" t="s">
        <v>204</v>
      </c>
      <c r="C346" s="1" t="s">
        <v>7876</v>
      </c>
      <c r="D346" s="2" t="str">
        <f t="shared" si="5"/>
        <v>http://zfin.org/</v>
      </c>
      <c r="E346" s="1" t="s">
        <v>4625</v>
      </c>
      <c r="F346" s="3">
        <v>1.62327699306479E-5</v>
      </c>
      <c r="G346" s="1">
        <v>0.70359344483318298</v>
      </c>
      <c r="H346" s="1">
        <v>0.73699999999999999</v>
      </c>
      <c r="I346" s="1">
        <v>0.63300000000000001</v>
      </c>
      <c r="J346" s="1">
        <v>1</v>
      </c>
    </row>
    <row r="347" spans="1:10" x14ac:dyDescent="0.2">
      <c r="A347" s="1" t="s">
        <v>713</v>
      </c>
      <c r="B347" s="1" t="s">
        <v>712</v>
      </c>
      <c r="C347" s="1" t="s">
        <v>711</v>
      </c>
      <c r="D347" s="2" t="str">
        <f t="shared" si="5"/>
        <v>http://zfin.org/ZDB-GENE-070410-90</v>
      </c>
      <c r="E347" s="1" t="s">
        <v>7875</v>
      </c>
      <c r="F347" s="3">
        <v>6.6046377381236598E-9</v>
      </c>
      <c r="G347" s="1">
        <v>0.729781765033652</v>
      </c>
      <c r="H347" s="1">
        <v>0.49099999999999999</v>
      </c>
      <c r="I347" s="1">
        <v>0.05</v>
      </c>
      <c r="J347" s="1">
        <v>1</v>
      </c>
    </row>
    <row r="348" spans="1:10" x14ac:dyDescent="0.2">
      <c r="A348" s="1" t="s">
        <v>737</v>
      </c>
      <c r="B348" s="1" t="s">
        <v>736</v>
      </c>
      <c r="C348" s="1" t="s">
        <v>735</v>
      </c>
      <c r="D348" s="2" t="str">
        <f t="shared" si="5"/>
        <v>http://zfin.org/ZDB-GENE-040426-2936</v>
      </c>
      <c r="E348" s="1" t="s">
        <v>7874</v>
      </c>
      <c r="F348" s="3">
        <v>1.10240057451559E-9</v>
      </c>
      <c r="G348" s="1">
        <v>0.73171114824477201</v>
      </c>
      <c r="H348" s="1">
        <v>0.73699999999999999</v>
      </c>
      <c r="I348" s="1">
        <v>0.23300000000000001</v>
      </c>
      <c r="J348" s="1">
        <v>1</v>
      </c>
    </row>
    <row r="349" spans="1:10" x14ac:dyDescent="0.2">
      <c r="A349" s="1" t="s">
        <v>743</v>
      </c>
      <c r="B349" s="1" t="s">
        <v>742</v>
      </c>
      <c r="C349" s="1" t="s">
        <v>741</v>
      </c>
      <c r="D349" s="2" t="str">
        <f t="shared" si="5"/>
        <v>http://zfin.org/ZDB-GENE-040718-336</v>
      </c>
      <c r="E349" s="1" t="s">
        <v>7873</v>
      </c>
      <c r="F349" s="3">
        <v>1.41502757882808E-10</v>
      </c>
      <c r="G349" s="1">
        <v>0.73659012491305598</v>
      </c>
      <c r="H349" s="1">
        <v>0.89500000000000002</v>
      </c>
      <c r="I349" s="1">
        <v>0.45</v>
      </c>
      <c r="J349" s="1">
        <v>1</v>
      </c>
    </row>
    <row r="350" spans="1:10" x14ac:dyDescent="0.2">
      <c r="A350" s="1" t="s">
        <v>7872</v>
      </c>
      <c r="B350" s="1" t="s">
        <v>7871</v>
      </c>
      <c r="C350" s="1" t="s">
        <v>7870</v>
      </c>
      <c r="D350" s="2" t="str">
        <f t="shared" si="5"/>
        <v>http://zfin.org/ZDB-GENE-050522-218</v>
      </c>
      <c r="E350" s="1" t="s">
        <v>7869</v>
      </c>
      <c r="F350" s="3">
        <v>9.4666218334745294E-5</v>
      </c>
      <c r="G350" s="1">
        <v>0.73818876956675805</v>
      </c>
      <c r="H350" s="1">
        <v>0.45600000000000002</v>
      </c>
      <c r="I350" s="1">
        <v>0.15</v>
      </c>
      <c r="J350" s="1">
        <v>1</v>
      </c>
    </row>
    <row r="351" spans="1:10" x14ac:dyDescent="0.2">
      <c r="A351" s="1" t="s">
        <v>728</v>
      </c>
      <c r="B351" s="1" t="s">
        <v>727</v>
      </c>
      <c r="C351" s="1" t="s">
        <v>726</v>
      </c>
      <c r="D351" s="2" t="str">
        <f t="shared" si="5"/>
        <v>http://zfin.org/ZDB-GENE-030131-8541</v>
      </c>
      <c r="E351" s="1" t="s">
        <v>7868</v>
      </c>
      <c r="F351" s="3">
        <v>1.28337009134079E-11</v>
      </c>
      <c r="G351" s="1">
        <v>0.75615959426926604</v>
      </c>
      <c r="H351" s="1">
        <v>0.93899999999999995</v>
      </c>
      <c r="I351" s="1">
        <v>0.45</v>
      </c>
      <c r="J351" s="1">
        <v>1</v>
      </c>
    </row>
    <row r="352" spans="1:10" x14ac:dyDescent="0.2">
      <c r="A352" s="1" t="s">
        <v>755</v>
      </c>
      <c r="B352" s="1" t="s">
        <v>754</v>
      </c>
      <c r="C352" s="1" t="s">
        <v>753</v>
      </c>
      <c r="D352" s="2" t="str">
        <f t="shared" si="5"/>
        <v>http://zfin.org/ZDB-GENE-030131-7447</v>
      </c>
      <c r="E352" s="1" t="s">
        <v>7867</v>
      </c>
      <c r="F352" s="3">
        <v>2.6331771705450099E-11</v>
      </c>
      <c r="G352" s="1">
        <v>0.76124418987556897</v>
      </c>
      <c r="H352" s="1">
        <v>0.58799999999999997</v>
      </c>
      <c r="I352" s="1">
        <v>6.7000000000000004E-2</v>
      </c>
      <c r="J352" s="1">
        <v>1</v>
      </c>
    </row>
    <row r="353" spans="1:10" x14ac:dyDescent="0.2">
      <c r="A353" s="1" t="s">
        <v>668</v>
      </c>
      <c r="B353" s="1" t="s">
        <v>667</v>
      </c>
      <c r="C353" s="1" t="s">
        <v>666</v>
      </c>
      <c r="D353" s="2" t="str">
        <f t="shared" si="5"/>
        <v>http://zfin.org/ZDB-GENE-050220-7</v>
      </c>
      <c r="E353" s="1" t="s">
        <v>7866</v>
      </c>
      <c r="F353" s="3">
        <v>3.50418067022497E-9</v>
      </c>
      <c r="G353" s="1">
        <v>0.76204453726648402</v>
      </c>
      <c r="H353" s="1">
        <v>0.36799999999999999</v>
      </c>
      <c r="I353" s="1">
        <v>0</v>
      </c>
      <c r="J353" s="1">
        <v>1</v>
      </c>
    </row>
    <row r="354" spans="1:10" x14ac:dyDescent="0.2">
      <c r="A354" s="1" t="s">
        <v>683</v>
      </c>
      <c r="B354" s="1" t="s">
        <v>682</v>
      </c>
      <c r="C354" s="1" t="s">
        <v>681</v>
      </c>
      <c r="D354" s="2" t="str">
        <f t="shared" si="5"/>
        <v>http://zfin.org/ZDB-GENE-081104-178</v>
      </c>
      <c r="E354" s="1" t="s">
        <v>7865</v>
      </c>
      <c r="F354" s="3">
        <v>1.3319204694625699E-9</v>
      </c>
      <c r="G354" s="1">
        <v>0.76221814910473995</v>
      </c>
      <c r="H354" s="1">
        <v>0.439</v>
      </c>
      <c r="I354" s="1">
        <v>3.3000000000000002E-2</v>
      </c>
      <c r="J354" s="1">
        <v>1</v>
      </c>
    </row>
    <row r="355" spans="1:10" x14ac:dyDescent="0.2">
      <c r="A355" s="1" t="s">
        <v>698</v>
      </c>
      <c r="B355" s="1" t="s">
        <v>697</v>
      </c>
      <c r="C355" s="1" t="s">
        <v>696</v>
      </c>
      <c r="D355" s="2" t="str">
        <f t="shared" si="5"/>
        <v>http://zfin.org/ZDB-GENE-131127-474</v>
      </c>
      <c r="E355" s="1" t="s">
        <v>7864</v>
      </c>
      <c r="F355" s="3">
        <v>5.1993951753990603E-8</v>
      </c>
      <c r="G355" s="1">
        <v>0.76382084078349399</v>
      </c>
      <c r="H355" s="1">
        <v>0.68400000000000005</v>
      </c>
      <c r="I355" s="1">
        <v>0.217</v>
      </c>
      <c r="J355" s="1">
        <v>1</v>
      </c>
    </row>
    <row r="356" spans="1:10" x14ac:dyDescent="0.2">
      <c r="A356" s="1" t="s">
        <v>725</v>
      </c>
      <c r="B356" s="1" t="s">
        <v>724</v>
      </c>
      <c r="C356" s="1" t="s">
        <v>723</v>
      </c>
      <c r="D356" s="2" t="str">
        <f t="shared" si="5"/>
        <v>http://zfin.org/ZDB-GENE-071004-57</v>
      </c>
      <c r="E356" s="1" t="s">
        <v>7863</v>
      </c>
      <c r="F356" s="3">
        <v>1.9861375484455998E-9</v>
      </c>
      <c r="G356" s="1">
        <v>0.76722445721294197</v>
      </c>
      <c r="H356" s="1">
        <v>0.97399999999999998</v>
      </c>
      <c r="I356" s="1">
        <v>0.83299999999999996</v>
      </c>
      <c r="J356" s="1">
        <v>1</v>
      </c>
    </row>
    <row r="357" spans="1:10" x14ac:dyDescent="0.2">
      <c r="A357" s="1" t="s">
        <v>505</v>
      </c>
      <c r="B357" s="1" t="s">
        <v>504</v>
      </c>
      <c r="C357" s="1" t="s">
        <v>503</v>
      </c>
      <c r="D357" s="2" t="str">
        <f t="shared" si="5"/>
        <v>http://zfin.org/ZDB-GENE-081022-9</v>
      </c>
      <c r="E357" s="1" t="s">
        <v>7862</v>
      </c>
      <c r="F357" s="3">
        <v>8.4486670784604896E-19</v>
      </c>
      <c r="G357" s="1">
        <v>0.773892496409746</v>
      </c>
      <c r="H357" s="1">
        <v>1</v>
      </c>
      <c r="I357" s="1">
        <v>0.66700000000000004</v>
      </c>
      <c r="J357" s="1">
        <v>1</v>
      </c>
    </row>
    <row r="358" spans="1:10" x14ac:dyDescent="0.2">
      <c r="A358" s="1" t="s">
        <v>427</v>
      </c>
      <c r="B358" s="1" t="s">
        <v>7861</v>
      </c>
      <c r="D358" s="2" t="str">
        <f t="shared" si="5"/>
        <v>http://zfin.org/</v>
      </c>
      <c r="E358" s="1" t="s">
        <v>4625</v>
      </c>
      <c r="F358" s="3">
        <v>1.00292976420718E-15</v>
      </c>
      <c r="G358" s="1">
        <v>0.77545438328846505</v>
      </c>
      <c r="H358" s="1">
        <v>0.98199999999999998</v>
      </c>
      <c r="I358" s="1">
        <v>0.6</v>
      </c>
      <c r="J358" s="1">
        <v>1</v>
      </c>
    </row>
    <row r="359" spans="1:10" x14ac:dyDescent="0.2">
      <c r="A359" s="1" t="s">
        <v>412</v>
      </c>
      <c r="B359" s="1" t="s">
        <v>411</v>
      </c>
      <c r="D359" s="2" t="str">
        <f t="shared" si="5"/>
        <v>http://zfin.org/</v>
      </c>
      <c r="E359" s="1" t="s">
        <v>4625</v>
      </c>
      <c r="F359" s="3">
        <v>7.8116799785841797E-22</v>
      </c>
      <c r="G359" s="1">
        <v>0.81105542649734097</v>
      </c>
      <c r="H359" s="1">
        <v>1</v>
      </c>
      <c r="I359" s="1">
        <v>0.66700000000000004</v>
      </c>
      <c r="J359" s="1">
        <v>1</v>
      </c>
    </row>
    <row r="360" spans="1:10" x14ac:dyDescent="0.2">
      <c r="A360" s="1" t="s">
        <v>773</v>
      </c>
      <c r="B360" s="1" t="s">
        <v>772</v>
      </c>
      <c r="C360" s="1" t="s">
        <v>771</v>
      </c>
      <c r="D360" s="2" t="str">
        <f t="shared" si="5"/>
        <v>http://zfin.org/ZDB-GENE-030804-2</v>
      </c>
      <c r="E360" s="1" t="s">
        <v>7860</v>
      </c>
      <c r="F360" s="3">
        <v>8.3964939434510004E-21</v>
      </c>
      <c r="G360" s="1">
        <v>0.81667242899204395</v>
      </c>
      <c r="H360" s="1">
        <v>0.99099999999999999</v>
      </c>
      <c r="I360" s="1">
        <v>0.68300000000000005</v>
      </c>
      <c r="J360" s="1">
        <v>1</v>
      </c>
    </row>
    <row r="361" spans="1:10" x14ac:dyDescent="0.2">
      <c r="A361" s="1" t="s">
        <v>749</v>
      </c>
      <c r="B361" s="1" t="s">
        <v>748</v>
      </c>
      <c r="C361" s="1" t="s">
        <v>747</v>
      </c>
      <c r="D361" s="2" t="str">
        <f t="shared" si="5"/>
        <v>http://zfin.org/ZDB-GENE-110411-215</v>
      </c>
      <c r="E361" s="1" t="s">
        <v>7859</v>
      </c>
      <c r="F361" s="3">
        <v>6.8980373614916295E-14</v>
      </c>
      <c r="G361" s="1">
        <v>0.82336520741693398</v>
      </c>
      <c r="H361" s="1">
        <v>0.51800000000000002</v>
      </c>
      <c r="I361" s="1">
        <v>3.3000000000000002E-2</v>
      </c>
      <c r="J361" s="1">
        <v>1</v>
      </c>
    </row>
    <row r="362" spans="1:10" x14ac:dyDescent="0.2">
      <c r="A362" s="1" t="s">
        <v>558</v>
      </c>
      <c r="B362" s="1" t="s">
        <v>557</v>
      </c>
      <c r="C362" s="1" t="s">
        <v>556</v>
      </c>
      <c r="D362" s="2" t="str">
        <f t="shared" si="5"/>
        <v>http://zfin.org/ZDB-GENE-030804-7</v>
      </c>
      <c r="E362" s="1" t="s">
        <v>7858</v>
      </c>
      <c r="F362" s="3">
        <v>1.02669362630731E-14</v>
      </c>
      <c r="G362" s="1">
        <v>0.83305260297667905</v>
      </c>
      <c r="H362" s="1">
        <v>0.95599999999999996</v>
      </c>
      <c r="I362" s="1">
        <v>0.41699999999999998</v>
      </c>
      <c r="J362" s="1">
        <v>1</v>
      </c>
    </row>
    <row r="363" spans="1:10" x14ac:dyDescent="0.2">
      <c r="A363" s="1" t="s">
        <v>734</v>
      </c>
      <c r="B363" s="1" t="s">
        <v>733</v>
      </c>
      <c r="C363" s="1" t="s">
        <v>732</v>
      </c>
      <c r="D363" s="2" t="str">
        <f t="shared" si="5"/>
        <v>http://zfin.org/ZDB-GENE-080723-23</v>
      </c>
      <c r="E363" s="1" t="s">
        <v>7857</v>
      </c>
      <c r="F363" s="3">
        <v>6.7312051840605304E-10</v>
      </c>
      <c r="G363" s="1">
        <v>0.83379032772131001</v>
      </c>
      <c r="H363" s="1">
        <v>0.54400000000000004</v>
      </c>
      <c r="I363" s="1">
        <v>6.7000000000000004E-2</v>
      </c>
      <c r="J363" s="1">
        <v>1</v>
      </c>
    </row>
    <row r="364" spans="1:10" x14ac:dyDescent="0.2">
      <c r="A364" s="1" t="s">
        <v>761</v>
      </c>
      <c r="B364" s="1" t="s">
        <v>760</v>
      </c>
      <c r="C364" s="1" t="s">
        <v>759</v>
      </c>
      <c r="D364" s="2" t="str">
        <f t="shared" si="5"/>
        <v>http://zfin.org/ZDB-GENE-121005-1</v>
      </c>
      <c r="E364" s="1" t="s">
        <v>7856</v>
      </c>
      <c r="F364" s="3">
        <v>1.1683741101213101E-10</v>
      </c>
      <c r="G364" s="1">
        <v>0.83539407876052896</v>
      </c>
      <c r="H364" s="1">
        <v>0.754</v>
      </c>
      <c r="I364" s="1">
        <v>0.25</v>
      </c>
      <c r="J364" s="1">
        <v>1</v>
      </c>
    </row>
    <row r="365" spans="1:10" x14ac:dyDescent="0.2">
      <c r="A365" s="1" t="s">
        <v>770</v>
      </c>
      <c r="B365" s="1" t="s">
        <v>769</v>
      </c>
      <c r="C365" s="1" t="s">
        <v>768</v>
      </c>
      <c r="D365" s="2" t="str">
        <f t="shared" si="5"/>
        <v>http://zfin.org/ZDB-GENE-040426-2151</v>
      </c>
      <c r="E365" s="1" t="s">
        <v>7855</v>
      </c>
      <c r="F365" s="3">
        <v>3.6297343310064902E-11</v>
      </c>
      <c r="G365" s="1">
        <v>0.84977865756444704</v>
      </c>
      <c r="H365" s="1">
        <v>0.90400000000000003</v>
      </c>
      <c r="I365" s="1">
        <v>0.5</v>
      </c>
      <c r="J365" s="1">
        <v>1</v>
      </c>
    </row>
    <row r="366" spans="1:10" x14ac:dyDescent="0.2">
      <c r="A366" s="1" t="s">
        <v>570</v>
      </c>
      <c r="B366" s="1" t="s">
        <v>569</v>
      </c>
      <c r="C366" s="1" t="s">
        <v>568</v>
      </c>
      <c r="D366" s="2" t="str">
        <f t="shared" si="5"/>
        <v>http://zfin.org/ZDB-GENE-041010-45</v>
      </c>
      <c r="E366" s="1" t="s">
        <v>7854</v>
      </c>
      <c r="F366" s="3">
        <v>6.9568005524844596E-17</v>
      </c>
      <c r="G366" s="1">
        <v>0.85510101552117201</v>
      </c>
      <c r="H366" s="1">
        <v>0.99099999999999999</v>
      </c>
      <c r="I366" s="1">
        <v>0.7</v>
      </c>
      <c r="J366" s="1">
        <v>1</v>
      </c>
    </row>
    <row r="367" spans="1:10" x14ac:dyDescent="0.2">
      <c r="A367" s="1" t="s">
        <v>764</v>
      </c>
      <c r="B367" s="1" t="s">
        <v>763</v>
      </c>
      <c r="C367" s="1" t="s">
        <v>762</v>
      </c>
      <c r="D367" s="2" t="str">
        <f t="shared" si="5"/>
        <v>http://zfin.org/ZDB-GENE-131127-65</v>
      </c>
      <c r="E367" s="1" t="s">
        <v>7853</v>
      </c>
      <c r="F367" s="3">
        <v>3.2917791974161199E-12</v>
      </c>
      <c r="G367" s="1">
        <v>0.877942769646751</v>
      </c>
      <c r="H367" s="1">
        <v>0.58799999999999997</v>
      </c>
      <c r="I367" s="1">
        <v>6.7000000000000004E-2</v>
      </c>
      <c r="J367" s="1">
        <v>1</v>
      </c>
    </row>
    <row r="368" spans="1:10" x14ac:dyDescent="0.2">
      <c r="A368" s="1" t="s">
        <v>472</v>
      </c>
      <c r="B368" s="1" t="s">
        <v>471</v>
      </c>
      <c r="C368" s="1" t="s">
        <v>470</v>
      </c>
      <c r="D368" s="2" t="str">
        <f t="shared" si="5"/>
        <v>http://zfin.org/ZDB-GENE-030821-1</v>
      </c>
      <c r="E368" s="1" t="s">
        <v>7852</v>
      </c>
      <c r="F368" s="3">
        <v>3.1123142275155E-12</v>
      </c>
      <c r="G368" s="1">
        <v>0.88839509012784501</v>
      </c>
      <c r="H368" s="1">
        <v>0.83299999999999996</v>
      </c>
      <c r="I368" s="1">
        <v>0.28299999999999997</v>
      </c>
      <c r="J368" s="1">
        <v>1</v>
      </c>
    </row>
    <row r="369" spans="1:10" x14ac:dyDescent="0.2">
      <c r="A369" s="1" t="s">
        <v>647</v>
      </c>
      <c r="B369" s="1" t="s">
        <v>646</v>
      </c>
      <c r="C369" s="1" t="s">
        <v>645</v>
      </c>
      <c r="D369" s="2" t="str">
        <f t="shared" si="5"/>
        <v>http://zfin.org/ZDB-GENE-030131-9170</v>
      </c>
      <c r="E369" s="1" t="s">
        <v>7851</v>
      </c>
      <c r="F369" s="3">
        <v>1.3406992501821101E-8</v>
      </c>
      <c r="G369" s="1">
        <v>0.92646017281470106</v>
      </c>
      <c r="H369" s="1">
        <v>0.94699999999999995</v>
      </c>
      <c r="I369" s="1">
        <v>0.65</v>
      </c>
      <c r="J369" s="1">
        <v>1</v>
      </c>
    </row>
    <row r="370" spans="1:10" x14ac:dyDescent="0.2">
      <c r="A370" s="1" t="s">
        <v>789</v>
      </c>
      <c r="B370" s="1" t="s">
        <v>788</v>
      </c>
      <c r="C370" s="1" t="s">
        <v>787</v>
      </c>
      <c r="D370" s="2" t="str">
        <f t="shared" si="5"/>
        <v>http://zfin.org/ZDB-GENE-040912-60</v>
      </c>
      <c r="E370" s="1" t="s">
        <v>7850</v>
      </c>
      <c r="F370" s="3">
        <v>8.0864547727903198E-21</v>
      </c>
      <c r="G370" s="1">
        <v>0.93812523044979301</v>
      </c>
      <c r="H370" s="1">
        <v>0.99099999999999999</v>
      </c>
      <c r="I370" s="1">
        <v>0.66700000000000004</v>
      </c>
      <c r="J370" s="1">
        <v>1</v>
      </c>
    </row>
    <row r="371" spans="1:10" x14ac:dyDescent="0.2">
      <c r="A371" s="1" t="s">
        <v>784</v>
      </c>
      <c r="B371" s="1" t="s">
        <v>7849</v>
      </c>
      <c r="C371" s="1" t="s">
        <v>7848</v>
      </c>
      <c r="D371" s="2" t="str">
        <f t="shared" si="5"/>
        <v>http://zfin.org/ZDB-GENE-080722-16</v>
      </c>
      <c r="E371" s="1" t="s">
        <v>7847</v>
      </c>
      <c r="F371" s="3">
        <v>3.5659163373073497E-27</v>
      </c>
      <c r="G371" s="1">
        <v>0.94348465679163296</v>
      </c>
      <c r="H371" s="1">
        <v>1</v>
      </c>
      <c r="I371" s="1">
        <v>0.98299999999999998</v>
      </c>
      <c r="J371" s="1">
        <v>1</v>
      </c>
    </row>
    <row r="372" spans="1:10" x14ac:dyDescent="0.2">
      <c r="A372" s="1" t="s">
        <v>795</v>
      </c>
      <c r="B372" s="1" t="s">
        <v>794</v>
      </c>
      <c r="C372" s="1" t="s">
        <v>793</v>
      </c>
      <c r="D372" s="2" t="str">
        <f t="shared" si="5"/>
        <v>http://zfin.org/ZDB-GENE-081028-55</v>
      </c>
      <c r="E372" s="1" t="s">
        <v>7846</v>
      </c>
      <c r="F372" s="3">
        <v>2.1543530397939999E-17</v>
      </c>
      <c r="G372" s="1">
        <v>0.96539921944941098</v>
      </c>
      <c r="H372" s="1">
        <v>0.99099999999999999</v>
      </c>
      <c r="I372" s="1">
        <v>0.58299999999999996</v>
      </c>
      <c r="J372" s="1">
        <v>1</v>
      </c>
    </row>
    <row r="373" spans="1:10" x14ac:dyDescent="0.2">
      <c r="A373" s="1" t="s">
        <v>7845</v>
      </c>
      <c r="B373" s="1" t="s">
        <v>510</v>
      </c>
      <c r="C373" s="1" t="s">
        <v>509</v>
      </c>
      <c r="D373" s="2" t="str">
        <f t="shared" si="5"/>
        <v>http://zfin.org/ZDB-GENE-030131-9116</v>
      </c>
      <c r="E373" s="1" t="s">
        <v>7844</v>
      </c>
      <c r="F373" s="3">
        <v>1.1004496560091901E-12</v>
      </c>
      <c r="G373" s="1">
        <v>0.972254151630496</v>
      </c>
      <c r="H373" s="1">
        <v>0.85099999999999998</v>
      </c>
      <c r="I373" s="1">
        <v>0.28299999999999997</v>
      </c>
      <c r="J373" s="1">
        <v>1</v>
      </c>
    </row>
    <row r="374" spans="1:10" x14ac:dyDescent="0.2">
      <c r="A374" s="1" t="s">
        <v>1452</v>
      </c>
      <c r="B374" s="1" t="s">
        <v>1451</v>
      </c>
      <c r="C374" s="1" t="s">
        <v>1450</v>
      </c>
      <c r="D374" s="2" t="str">
        <f t="shared" si="5"/>
        <v>http://zfin.org/ZDB-GENE-001212-5</v>
      </c>
      <c r="E374" s="1" t="s">
        <v>7843</v>
      </c>
      <c r="F374" s="3">
        <v>1.6641823969683501E-6</v>
      </c>
      <c r="G374" s="1">
        <v>0.976068983932183</v>
      </c>
      <c r="H374" s="1">
        <v>0.48199999999999998</v>
      </c>
      <c r="I374" s="1">
        <v>0.13300000000000001</v>
      </c>
      <c r="J374" s="1">
        <v>1</v>
      </c>
    </row>
    <row r="375" spans="1:10" x14ac:dyDescent="0.2">
      <c r="A375" s="1" t="s">
        <v>740</v>
      </c>
      <c r="B375" s="1" t="s">
        <v>739</v>
      </c>
      <c r="C375" s="1" t="s">
        <v>738</v>
      </c>
      <c r="D375" s="2" t="str">
        <f t="shared" si="5"/>
        <v>http://zfin.org/ZDB-GENE-160113-73</v>
      </c>
      <c r="E375" s="1" t="s">
        <v>7842</v>
      </c>
      <c r="F375" s="3">
        <v>8.8110710656282296E-11</v>
      </c>
      <c r="G375" s="1">
        <v>0.98216420587186004</v>
      </c>
      <c r="H375" s="1">
        <v>0.70199999999999996</v>
      </c>
      <c r="I375" s="1">
        <v>0.217</v>
      </c>
      <c r="J375" s="1">
        <v>1</v>
      </c>
    </row>
    <row r="376" spans="1:10" x14ac:dyDescent="0.2">
      <c r="A376" s="1" t="s">
        <v>424</v>
      </c>
      <c r="B376" s="1" t="s">
        <v>423</v>
      </c>
      <c r="C376" s="1" t="s">
        <v>422</v>
      </c>
      <c r="D376" s="2" t="str">
        <f t="shared" si="5"/>
        <v>http://zfin.org/ZDB-GENE-081105-176</v>
      </c>
      <c r="E376" s="1" t="s">
        <v>7841</v>
      </c>
      <c r="F376" s="3">
        <v>2.14791004382509E-16</v>
      </c>
      <c r="G376" s="1">
        <v>0.99230448801130899</v>
      </c>
      <c r="H376" s="1">
        <v>0.83299999999999996</v>
      </c>
      <c r="I376" s="1">
        <v>0.183</v>
      </c>
      <c r="J376" s="1">
        <v>1</v>
      </c>
    </row>
    <row r="377" spans="1:10" x14ac:dyDescent="0.2">
      <c r="A377" s="1" t="s">
        <v>758</v>
      </c>
      <c r="B377" s="1" t="s">
        <v>757</v>
      </c>
      <c r="C377" s="1" t="s">
        <v>756</v>
      </c>
      <c r="D377" s="2" t="str">
        <f t="shared" si="5"/>
        <v>http://zfin.org/ZDB-GENE-090313-35</v>
      </c>
      <c r="E377" s="1" t="s">
        <v>7840</v>
      </c>
      <c r="F377" s="3">
        <v>1.14102281442709E-12</v>
      </c>
      <c r="G377" s="1">
        <v>0.99476669197217704</v>
      </c>
      <c r="H377" s="1">
        <v>0.56100000000000005</v>
      </c>
      <c r="I377" s="1">
        <v>3.3000000000000002E-2</v>
      </c>
      <c r="J377" s="1">
        <v>1</v>
      </c>
    </row>
    <row r="378" spans="1:10" x14ac:dyDescent="0.2">
      <c r="A378" s="1" t="s">
        <v>7839</v>
      </c>
      <c r="B378" s="1" t="s">
        <v>785</v>
      </c>
      <c r="C378" s="1" t="s">
        <v>7838</v>
      </c>
      <c r="D378" s="2" t="str">
        <f t="shared" si="5"/>
        <v>http://zfin.org/ZDB-GENE-060503-559</v>
      </c>
      <c r="E378" s="1" t="s">
        <v>7837</v>
      </c>
      <c r="F378" s="3">
        <v>6.6059529373201403E-17</v>
      </c>
      <c r="G378" s="1">
        <v>0.99913042987868395</v>
      </c>
      <c r="H378" s="1">
        <v>0.66700000000000004</v>
      </c>
      <c r="I378" s="1">
        <v>0.05</v>
      </c>
      <c r="J378" s="1">
        <v>1</v>
      </c>
    </row>
    <row r="379" spans="1:10" x14ac:dyDescent="0.2">
      <c r="A379" s="1" t="s">
        <v>433</v>
      </c>
      <c r="B379" s="1" t="s">
        <v>432</v>
      </c>
      <c r="C379" s="1" t="s">
        <v>431</v>
      </c>
      <c r="D379" s="2" t="str">
        <f t="shared" si="5"/>
        <v>http://zfin.org/ZDB-GENE-050522-319</v>
      </c>
      <c r="E379" s="1" t="s">
        <v>7836</v>
      </c>
      <c r="F379" s="3">
        <v>3.8245109214450699E-14</v>
      </c>
      <c r="G379" s="1">
        <v>1.04168077627143</v>
      </c>
      <c r="H379" s="1">
        <v>0.94699999999999995</v>
      </c>
      <c r="I379" s="1">
        <v>0.48299999999999998</v>
      </c>
      <c r="J379" s="1">
        <v>1</v>
      </c>
    </row>
    <row r="380" spans="1:10" x14ac:dyDescent="0.2">
      <c r="A380" s="1" t="s">
        <v>767</v>
      </c>
      <c r="B380" s="1" t="s">
        <v>766</v>
      </c>
      <c r="C380" s="1" t="s">
        <v>765</v>
      </c>
      <c r="D380" s="2" t="str">
        <f t="shared" si="5"/>
        <v>http://zfin.org/ZDB-GENE-121214-339</v>
      </c>
      <c r="E380" s="1" t="s">
        <v>7835</v>
      </c>
      <c r="F380" s="3">
        <v>1.5688720573257801E-11</v>
      </c>
      <c r="G380" s="1">
        <v>1.0651665679428199</v>
      </c>
      <c r="H380" s="1">
        <v>0.63200000000000001</v>
      </c>
      <c r="I380" s="1">
        <v>0.1</v>
      </c>
      <c r="J380" s="1">
        <v>1</v>
      </c>
    </row>
    <row r="381" spans="1:10" x14ac:dyDescent="0.2">
      <c r="A381" s="1" t="s">
        <v>752</v>
      </c>
      <c r="B381" s="1" t="s">
        <v>751</v>
      </c>
      <c r="C381" s="1" t="s">
        <v>750</v>
      </c>
      <c r="D381" s="2" t="str">
        <f t="shared" si="5"/>
        <v>http://zfin.org/ZDB-GENE-980526-280</v>
      </c>
      <c r="E381" s="1" t="s">
        <v>7834</v>
      </c>
      <c r="F381" s="3">
        <v>8.7094631934437398E-11</v>
      </c>
      <c r="G381" s="1">
        <v>1.0857759627227801</v>
      </c>
      <c r="H381" s="1">
        <v>0.67500000000000004</v>
      </c>
      <c r="I381" s="1">
        <v>0.16700000000000001</v>
      </c>
      <c r="J381" s="1">
        <v>1</v>
      </c>
    </row>
    <row r="382" spans="1:10" x14ac:dyDescent="0.2">
      <c r="A382" s="1" t="s">
        <v>487</v>
      </c>
      <c r="B382" s="1" t="s">
        <v>7833</v>
      </c>
      <c r="C382" s="1" t="s">
        <v>7832</v>
      </c>
      <c r="D382" s="2" t="str">
        <f t="shared" si="5"/>
        <v>http://zfin.org/ZDB-GENE-170331-1</v>
      </c>
      <c r="E382" s="1" t="s">
        <v>7831</v>
      </c>
      <c r="F382" s="3">
        <v>3.4028381274065798E-18</v>
      </c>
      <c r="G382" s="1">
        <v>1.1850506648074199</v>
      </c>
      <c r="H382" s="1">
        <v>0.89500000000000002</v>
      </c>
      <c r="I382" s="1">
        <v>0.3</v>
      </c>
      <c r="J382" s="1">
        <v>1</v>
      </c>
    </row>
    <row r="383" spans="1:10" x14ac:dyDescent="0.2">
      <c r="A383" s="1" t="s">
        <v>804</v>
      </c>
      <c r="B383" s="1" t="s">
        <v>803</v>
      </c>
      <c r="C383" s="1" t="s">
        <v>802</v>
      </c>
      <c r="D383" s="2" t="str">
        <f t="shared" si="5"/>
        <v>http://zfin.org/ZDB-GENE-061027-74</v>
      </c>
      <c r="E383" s="1" t="s">
        <v>7830</v>
      </c>
      <c r="F383" s="3">
        <v>2.3159546989585801E-20</v>
      </c>
      <c r="G383" s="1">
        <v>1.19574006693063</v>
      </c>
      <c r="H383" s="1">
        <v>0.80700000000000005</v>
      </c>
      <c r="I383" s="1">
        <v>8.3000000000000004E-2</v>
      </c>
      <c r="J383" s="1">
        <v>1</v>
      </c>
    </row>
    <row r="384" spans="1:10" x14ac:dyDescent="0.2">
      <c r="A384" s="1" t="s">
        <v>822</v>
      </c>
      <c r="B384" s="1" t="s">
        <v>821</v>
      </c>
      <c r="C384" s="1" t="s">
        <v>820</v>
      </c>
      <c r="D384" s="2" t="str">
        <f t="shared" si="5"/>
        <v>http://zfin.org/ZDB-GENE-000511-7</v>
      </c>
      <c r="E384" s="1" t="s">
        <v>7829</v>
      </c>
      <c r="F384" s="3">
        <v>2.4047268899455502E-25</v>
      </c>
      <c r="G384" s="1">
        <v>1.2161451820706699</v>
      </c>
      <c r="H384" s="1">
        <v>0.99099999999999999</v>
      </c>
      <c r="I384" s="1">
        <v>0.85</v>
      </c>
      <c r="J384" s="1">
        <v>1</v>
      </c>
    </row>
    <row r="385" spans="1:10" x14ac:dyDescent="0.2">
      <c r="A385" s="1" t="s">
        <v>819</v>
      </c>
      <c r="B385" s="1" t="s">
        <v>818</v>
      </c>
      <c r="C385" s="1" t="s">
        <v>817</v>
      </c>
      <c r="D385" s="2" t="str">
        <f t="shared" si="5"/>
        <v>http://zfin.org/ZDB-GENE-131121-428</v>
      </c>
      <c r="E385" s="1" t="s">
        <v>7828</v>
      </c>
      <c r="F385" s="3">
        <v>1.05967242840892E-26</v>
      </c>
      <c r="G385" s="1">
        <v>1.2192727600765301</v>
      </c>
      <c r="H385" s="1">
        <v>0.99099999999999999</v>
      </c>
      <c r="I385" s="1">
        <v>0.56699999999999995</v>
      </c>
      <c r="J385" s="1">
        <v>1</v>
      </c>
    </row>
    <row r="386" spans="1:10" x14ac:dyDescent="0.2">
      <c r="A386" s="1" t="s">
        <v>3097</v>
      </c>
      <c r="B386" s="1" t="s">
        <v>3096</v>
      </c>
      <c r="C386" s="1" t="s">
        <v>3095</v>
      </c>
      <c r="D386" s="2" t="str">
        <f t="shared" ref="D386:D449" si="6">HYPERLINK(E386)</f>
        <v>http://zfin.org/ZDB-GENE-040822-31</v>
      </c>
      <c r="E386" s="1" t="s">
        <v>7827</v>
      </c>
      <c r="F386" s="3">
        <v>3.7434653053349998E-5</v>
      </c>
      <c r="G386" s="1">
        <v>1.2377990240727399</v>
      </c>
      <c r="H386" s="1">
        <v>0.66700000000000004</v>
      </c>
      <c r="I386" s="1">
        <v>0.46700000000000003</v>
      </c>
      <c r="J386" s="1">
        <v>1</v>
      </c>
    </row>
    <row r="387" spans="1:10" x14ac:dyDescent="0.2">
      <c r="A387" s="1" t="s">
        <v>807</v>
      </c>
      <c r="B387" s="1" t="s">
        <v>806</v>
      </c>
      <c r="C387" s="1" t="s">
        <v>805</v>
      </c>
      <c r="D387" s="2" t="str">
        <f t="shared" si="6"/>
        <v>http://zfin.org/ZDB-GENE-060929-368</v>
      </c>
      <c r="E387" s="1" t="s">
        <v>7826</v>
      </c>
      <c r="F387" s="3">
        <v>9.4290705095701501E-21</v>
      </c>
      <c r="G387" s="1">
        <v>1.2633574330442401</v>
      </c>
      <c r="H387" s="1">
        <v>0.83299999999999996</v>
      </c>
      <c r="I387" s="1">
        <v>0.15</v>
      </c>
      <c r="J387" s="1">
        <v>1</v>
      </c>
    </row>
    <row r="388" spans="1:10" x14ac:dyDescent="0.2">
      <c r="A388" s="1" t="s">
        <v>798</v>
      </c>
      <c r="B388" s="1" t="s">
        <v>797</v>
      </c>
      <c r="C388" s="1" t="s">
        <v>796</v>
      </c>
      <c r="D388" s="2" t="str">
        <f t="shared" si="6"/>
        <v>http://zfin.org/ZDB-GENE-020910-1</v>
      </c>
      <c r="E388" s="1" t="s">
        <v>7825</v>
      </c>
      <c r="F388" s="3">
        <v>1.1084447208788499E-17</v>
      </c>
      <c r="G388" s="1">
        <v>1.2934666938144299</v>
      </c>
      <c r="H388" s="1">
        <v>0.88600000000000001</v>
      </c>
      <c r="I388" s="1">
        <v>0.3</v>
      </c>
      <c r="J388" s="1">
        <v>1</v>
      </c>
    </row>
    <row r="389" spans="1:10" x14ac:dyDescent="0.2">
      <c r="A389" s="1" t="s">
        <v>801</v>
      </c>
      <c r="B389" s="1" t="s">
        <v>800</v>
      </c>
      <c r="C389" s="1" t="s">
        <v>799</v>
      </c>
      <c r="D389" s="2" t="str">
        <f t="shared" si="6"/>
        <v>http://zfin.org/ZDB-GENE-030131-7787</v>
      </c>
      <c r="E389" s="1" t="s">
        <v>7824</v>
      </c>
      <c r="F389" s="3">
        <v>8.4611818100030896E-20</v>
      </c>
      <c r="G389" s="1">
        <v>1.30116099920269</v>
      </c>
      <c r="H389" s="1">
        <v>0.91200000000000003</v>
      </c>
      <c r="I389" s="1">
        <v>0.3</v>
      </c>
      <c r="J389" s="1">
        <v>1</v>
      </c>
    </row>
    <row r="390" spans="1:10" x14ac:dyDescent="0.2">
      <c r="A390" s="1" t="s">
        <v>383</v>
      </c>
      <c r="B390" s="1" t="s">
        <v>382</v>
      </c>
      <c r="C390" s="1" t="s">
        <v>381</v>
      </c>
      <c r="D390" s="2" t="str">
        <f t="shared" si="6"/>
        <v>http://zfin.org/ZDB-GENE-160114-52</v>
      </c>
      <c r="E390" s="1" t="s">
        <v>7823</v>
      </c>
      <c r="F390" s="3">
        <v>2.8104170036678999E-18</v>
      </c>
      <c r="G390" s="1">
        <v>1.3300427258048</v>
      </c>
      <c r="H390" s="1">
        <v>0.78100000000000003</v>
      </c>
      <c r="I390" s="1">
        <v>0.1</v>
      </c>
      <c r="J390" s="1">
        <v>1</v>
      </c>
    </row>
    <row r="391" spans="1:10" x14ac:dyDescent="0.2">
      <c r="A391" s="1" t="s">
        <v>810</v>
      </c>
      <c r="B391" s="1" t="s">
        <v>7822</v>
      </c>
      <c r="C391" s="1" t="s">
        <v>808</v>
      </c>
      <c r="D391" s="2" t="str">
        <f t="shared" si="6"/>
        <v>http://zfin.org/ZDB-GENE-050417-380</v>
      </c>
      <c r="E391" s="1" t="s">
        <v>7821</v>
      </c>
      <c r="F391" s="3">
        <v>8.4967685553849898E-22</v>
      </c>
      <c r="G391" s="1">
        <v>1.4035835539697901</v>
      </c>
      <c r="H391" s="1">
        <v>0.76300000000000001</v>
      </c>
      <c r="I391" s="1">
        <v>0.05</v>
      </c>
      <c r="J391" s="1">
        <v>1</v>
      </c>
    </row>
    <row r="392" spans="1:10" x14ac:dyDescent="0.2">
      <c r="A392" s="1" t="s">
        <v>825</v>
      </c>
      <c r="B392" s="1" t="s">
        <v>824</v>
      </c>
      <c r="C392" s="1" t="s">
        <v>823</v>
      </c>
      <c r="D392" s="2" t="str">
        <f t="shared" si="6"/>
        <v>http://zfin.org/ZDB-GENE-131127-224</v>
      </c>
      <c r="E392" s="1" t="s">
        <v>7820</v>
      </c>
      <c r="F392" s="3">
        <v>4.36889468904432E-28</v>
      </c>
      <c r="G392" s="1">
        <v>1.4763708864307701</v>
      </c>
      <c r="H392" s="1">
        <v>0.97399999999999998</v>
      </c>
      <c r="I392" s="1">
        <v>0.61699999999999999</v>
      </c>
      <c r="J392" s="1">
        <v>1</v>
      </c>
    </row>
    <row r="393" spans="1:10" x14ac:dyDescent="0.2">
      <c r="A393" s="1" t="s">
        <v>776</v>
      </c>
      <c r="B393" s="1" t="s">
        <v>775</v>
      </c>
      <c r="C393" s="1" t="s">
        <v>774</v>
      </c>
      <c r="D393" s="2" t="str">
        <f t="shared" si="6"/>
        <v>http://zfin.org/ZDB-GENE-040426-1473</v>
      </c>
      <c r="E393" s="1" t="s">
        <v>7819</v>
      </c>
      <c r="F393" s="3">
        <v>2.10101066237885E-15</v>
      </c>
      <c r="G393" s="1">
        <v>1.5692752057464401</v>
      </c>
      <c r="H393" s="1">
        <v>0.64</v>
      </c>
      <c r="I393" s="1">
        <v>6.7000000000000004E-2</v>
      </c>
      <c r="J393" s="1">
        <v>1</v>
      </c>
    </row>
    <row r="394" spans="1:10" x14ac:dyDescent="0.2">
      <c r="A394" s="1" t="s">
        <v>781</v>
      </c>
      <c r="B394" s="1" t="s">
        <v>780</v>
      </c>
      <c r="D394" s="2" t="str">
        <f t="shared" si="6"/>
        <v>http://zfin.org/</v>
      </c>
      <c r="E394" s="1" t="s">
        <v>4625</v>
      </c>
      <c r="F394" s="3">
        <v>6.3747200731225004E-16</v>
      </c>
      <c r="G394" s="1">
        <v>1.59518597704342</v>
      </c>
      <c r="H394" s="1">
        <v>0.60499999999999998</v>
      </c>
      <c r="I394" s="1">
        <v>1.7000000000000001E-2</v>
      </c>
      <c r="J394" s="1">
        <v>1</v>
      </c>
    </row>
    <row r="395" spans="1:10" x14ac:dyDescent="0.2">
      <c r="A395" s="1" t="s">
        <v>813</v>
      </c>
      <c r="B395" s="1" t="s">
        <v>812</v>
      </c>
      <c r="C395" s="1" t="s">
        <v>811</v>
      </c>
      <c r="D395" s="2" t="str">
        <f t="shared" si="6"/>
        <v>http://zfin.org/ZDB-GENE-040310-2</v>
      </c>
      <c r="E395" s="1" t="s">
        <v>7818</v>
      </c>
      <c r="F395" s="3">
        <v>5.4407656183918002E-21</v>
      </c>
      <c r="G395" s="1">
        <v>1.6606801531156099</v>
      </c>
      <c r="H395" s="1">
        <v>0.85099999999999998</v>
      </c>
      <c r="I395" s="1">
        <v>0.217</v>
      </c>
      <c r="J395" s="1">
        <v>1</v>
      </c>
    </row>
    <row r="396" spans="1:10" x14ac:dyDescent="0.2">
      <c r="A396" s="1" t="s">
        <v>816</v>
      </c>
      <c r="B396" s="1" t="s">
        <v>815</v>
      </c>
      <c r="C396" s="1" t="s">
        <v>814</v>
      </c>
      <c r="D396" s="2" t="str">
        <f t="shared" si="6"/>
        <v>http://zfin.org/ZDB-GENE-080130-2</v>
      </c>
      <c r="E396" s="1" t="s">
        <v>7817</v>
      </c>
      <c r="F396" s="3">
        <v>4.3195223681565502E-26</v>
      </c>
      <c r="G396" s="1">
        <v>1.7093683828256701</v>
      </c>
      <c r="H396" s="1">
        <v>0.76300000000000001</v>
      </c>
      <c r="I396" s="1">
        <v>3.3000000000000002E-2</v>
      </c>
      <c r="J396" s="1">
        <v>1</v>
      </c>
    </row>
    <row r="397" spans="1:10" x14ac:dyDescent="0.2">
      <c r="A397" s="1" t="s">
        <v>436</v>
      </c>
      <c r="B397" s="1" t="s">
        <v>435</v>
      </c>
      <c r="C397" s="1" t="s">
        <v>434</v>
      </c>
      <c r="D397" s="2" t="str">
        <f t="shared" si="6"/>
        <v>http://zfin.org/ZDB-GENE-060526-265</v>
      </c>
      <c r="E397" s="1" t="s">
        <v>7816</v>
      </c>
      <c r="F397" s="3">
        <v>3.2507031631906503E-30</v>
      </c>
      <c r="G397" s="1">
        <v>1.7878139579163801</v>
      </c>
      <c r="H397" s="1">
        <v>0.93</v>
      </c>
      <c r="I397" s="1">
        <v>8.3000000000000004E-2</v>
      </c>
      <c r="J397" s="1">
        <v>1</v>
      </c>
    </row>
    <row r="398" spans="1:10" x14ac:dyDescent="0.2">
      <c r="A398" s="1" t="s">
        <v>828</v>
      </c>
      <c r="B398" s="1" t="s">
        <v>827</v>
      </c>
      <c r="C398" s="1" t="s">
        <v>826</v>
      </c>
      <c r="D398" s="2" t="str">
        <f t="shared" si="6"/>
        <v>http://zfin.org/ZDB-GENE-080220-29</v>
      </c>
      <c r="E398" s="1" t="s">
        <v>7815</v>
      </c>
      <c r="F398" s="3">
        <v>5.07326549023054E-37</v>
      </c>
      <c r="G398" s="1">
        <v>2.1225049769345601</v>
      </c>
      <c r="H398" s="1">
        <v>1</v>
      </c>
      <c r="I398" s="1">
        <v>0.66700000000000004</v>
      </c>
      <c r="J398" s="1">
        <v>1</v>
      </c>
    </row>
    <row r="399" spans="1:10" x14ac:dyDescent="0.2">
      <c r="A399" s="1" t="s">
        <v>831</v>
      </c>
      <c r="B399" s="1" t="s">
        <v>830</v>
      </c>
      <c r="C399" s="1" t="s">
        <v>829</v>
      </c>
      <c r="D399" s="2" t="str">
        <f t="shared" si="6"/>
        <v>http://zfin.org/ZDB-GENE-030805-3</v>
      </c>
      <c r="E399" s="1" t="s">
        <v>7814</v>
      </c>
      <c r="F399" s="3">
        <v>4.8426823909763199E-48</v>
      </c>
      <c r="G399" s="1">
        <v>2.1706839741867099</v>
      </c>
      <c r="H399" s="1">
        <v>1</v>
      </c>
      <c r="I399" s="1">
        <v>1</v>
      </c>
      <c r="J399" s="1">
        <v>1</v>
      </c>
    </row>
    <row r="400" spans="1:10" x14ac:dyDescent="0.2">
      <c r="A400" s="1" t="s">
        <v>792</v>
      </c>
      <c r="B400" s="1" t="s">
        <v>791</v>
      </c>
      <c r="C400" s="1" t="s">
        <v>790</v>
      </c>
      <c r="D400" s="2" t="str">
        <f t="shared" si="6"/>
        <v>http://zfin.org/ZDB-GENE-121214-253</v>
      </c>
      <c r="E400" s="1" t="s">
        <v>7813</v>
      </c>
      <c r="F400" s="3">
        <v>3.2333781229616198E-20</v>
      </c>
      <c r="G400" s="1">
        <v>2.4217093572014798</v>
      </c>
      <c r="H400" s="1">
        <v>0.77200000000000002</v>
      </c>
      <c r="I400" s="1">
        <v>0.217</v>
      </c>
      <c r="J400" s="1">
        <v>1</v>
      </c>
    </row>
    <row r="401" spans="1:10" x14ac:dyDescent="0.2">
      <c r="A401" s="1" t="s">
        <v>907</v>
      </c>
      <c r="B401" s="1" t="s">
        <v>906</v>
      </c>
      <c r="C401" s="1" t="s">
        <v>905</v>
      </c>
      <c r="D401" s="2" t="str">
        <f t="shared" si="6"/>
        <v>http://zfin.org/ZDB-GENE-051030-81</v>
      </c>
      <c r="E401" s="1" t="s">
        <v>7812</v>
      </c>
      <c r="F401" s="3">
        <v>3.3823079767377401E-37</v>
      </c>
      <c r="G401" s="1">
        <v>-2.1899701990925999</v>
      </c>
      <c r="H401" s="1">
        <v>0.91200000000000003</v>
      </c>
      <c r="I401" s="1">
        <v>0.96699999999999997</v>
      </c>
      <c r="J401" s="1">
        <v>2</v>
      </c>
    </row>
    <row r="402" spans="1:10" x14ac:dyDescent="0.2">
      <c r="A402" s="1" t="s">
        <v>1021</v>
      </c>
      <c r="B402" s="1" t="s">
        <v>1020</v>
      </c>
      <c r="C402" s="1" t="s">
        <v>1019</v>
      </c>
      <c r="D402" s="2" t="str">
        <f t="shared" si="6"/>
        <v>http://zfin.org/ZDB-GENE-030131-247</v>
      </c>
      <c r="E402" s="1" t="s">
        <v>7811</v>
      </c>
      <c r="F402" s="3">
        <v>1.5640837691859599E-29</v>
      </c>
      <c r="G402" s="1">
        <v>-2.1677979805532601</v>
      </c>
      <c r="H402" s="1">
        <v>0.27200000000000002</v>
      </c>
      <c r="I402" s="1">
        <v>0.86699999999999999</v>
      </c>
      <c r="J402" s="1">
        <v>2</v>
      </c>
    </row>
    <row r="403" spans="1:10" x14ac:dyDescent="0.2">
      <c r="A403" s="1" t="s">
        <v>837</v>
      </c>
      <c r="B403" s="1" t="s">
        <v>836</v>
      </c>
      <c r="C403" s="1" t="s">
        <v>835</v>
      </c>
      <c r="D403" s="2" t="str">
        <f t="shared" si="6"/>
        <v>http://zfin.org/ZDB-GENE-040426-2321</v>
      </c>
      <c r="E403" s="1" t="s">
        <v>7810</v>
      </c>
      <c r="F403" s="3">
        <v>5.4501045029571097E-15</v>
      </c>
      <c r="G403" s="1">
        <v>-2.0096250370176998</v>
      </c>
      <c r="H403" s="1">
        <v>7.0000000000000007E-2</v>
      </c>
      <c r="I403" s="1">
        <v>0.5</v>
      </c>
      <c r="J403" s="1">
        <v>2</v>
      </c>
    </row>
    <row r="404" spans="1:10" x14ac:dyDescent="0.2">
      <c r="A404" s="1" t="s">
        <v>2224</v>
      </c>
      <c r="B404" s="1" t="s">
        <v>2223</v>
      </c>
      <c r="C404" s="1" t="s">
        <v>2222</v>
      </c>
      <c r="D404" s="2" t="str">
        <f t="shared" si="6"/>
        <v>http://zfin.org/ZDB-GENE-040912-122</v>
      </c>
      <c r="E404" s="1" t="s">
        <v>7809</v>
      </c>
      <c r="F404" s="3">
        <v>2.88472953957079E-29</v>
      </c>
      <c r="G404" s="1">
        <v>-1.7095643048884399</v>
      </c>
      <c r="H404" s="1">
        <v>0.754</v>
      </c>
      <c r="I404" s="1">
        <v>0.85</v>
      </c>
      <c r="J404" s="1">
        <v>2</v>
      </c>
    </row>
    <row r="405" spans="1:10" x14ac:dyDescent="0.2">
      <c r="A405" s="1" t="s">
        <v>2381</v>
      </c>
      <c r="B405" s="1" t="s">
        <v>2383</v>
      </c>
      <c r="C405" s="1" t="s">
        <v>7808</v>
      </c>
      <c r="D405" s="2" t="str">
        <f t="shared" si="6"/>
        <v>http://zfin.org/</v>
      </c>
      <c r="E405" s="1" t="s">
        <v>4625</v>
      </c>
      <c r="F405" s="3">
        <v>2.6065340489729398E-7</v>
      </c>
      <c r="G405" s="1">
        <v>-1.6528396046895999</v>
      </c>
      <c r="H405" s="1">
        <v>8.7999999999999995E-2</v>
      </c>
      <c r="I405" s="1">
        <v>0.2</v>
      </c>
      <c r="J405" s="1">
        <v>2</v>
      </c>
    </row>
    <row r="406" spans="1:10" x14ac:dyDescent="0.2">
      <c r="A406" s="1" t="s">
        <v>125</v>
      </c>
      <c r="B406" s="1" t="s">
        <v>124</v>
      </c>
      <c r="C406" s="1" t="s">
        <v>126</v>
      </c>
      <c r="D406" s="2" t="str">
        <f t="shared" si="6"/>
        <v>http://zfin.org/ZDB-GENE-040426-2315</v>
      </c>
      <c r="E406" s="1" t="s">
        <v>7807</v>
      </c>
      <c r="F406" s="3">
        <v>3.24590581380008E-23</v>
      </c>
      <c r="G406" s="1">
        <v>-1.6141129858271299</v>
      </c>
      <c r="H406" s="1">
        <v>0.55300000000000005</v>
      </c>
      <c r="I406" s="1">
        <v>0.9</v>
      </c>
      <c r="J406" s="1">
        <v>2</v>
      </c>
    </row>
    <row r="407" spans="1:10" x14ac:dyDescent="0.2">
      <c r="A407" s="1" t="s">
        <v>172</v>
      </c>
      <c r="B407" s="1" t="s">
        <v>171</v>
      </c>
      <c r="C407" s="1" t="s">
        <v>173</v>
      </c>
      <c r="D407" s="2" t="str">
        <f t="shared" si="6"/>
        <v>http://zfin.org/ZDB-GENE-010328-8</v>
      </c>
      <c r="E407" s="1" t="s">
        <v>7806</v>
      </c>
      <c r="F407" s="3">
        <v>2.6297649768214401E-26</v>
      </c>
      <c r="G407" s="1">
        <v>-1.5753119381464</v>
      </c>
      <c r="H407" s="1">
        <v>0.5</v>
      </c>
      <c r="I407" s="1">
        <v>0.93300000000000005</v>
      </c>
      <c r="J407" s="1">
        <v>2</v>
      </c>
    </row>
    <row r="408" spans="1:10" x14ac:dyDescent="0.2">
      <c r="A408" s="1" t="s">
        <v>1061</v>
      </c>
      <c r="B408" s="1" t="s">
        <v>1060</v>
      </c>
      <c r="C408" s="1" t="s">
        <v>1059</v>
      </c>
      <c r="D408" s="2" t="str">
        <f t="shared" si="6"/>
        <v>http://zfin.org/ZDB-GENE-030131-8681</v>
      </c>
      <c r="E408" s="1" t="s">
        <v>7805</v>
      </c>
      <c r="F408" s="3">
        <v>1.7519387797086298E-39</v>
      </c>
      <c r="G408" s="1">
        <v>-1.5327695253192399</v>
      </c>
      <c r="H408" s="1">
        <v>0.99099999999999999</v>
      </c>
      <c r="I408" s="1">
        <v>1</v>
      </c>
      <c r="J408" s="1">
        <v>2</v>
      </c>
    </row>
    <row r="409" spans="1:10" x14ac:dyDescent="0.2">
      <c r="A409" s="1" t="s">
        <v>876</v>
      </c>
      <c r="B409" s="1" t="s">
        <v>875</v>
      </c>
      <c r="C409" s="1" t="s">
        <v>874</v>
      </c>
      <c r="D409" s="2" t="str">
        <f t="shared" si="6"/>
        <v>http://zfin.org/ZDB-GENE-030131-2602</v>
      </c>
      <c r="E409" s="1" t="s">
        <v>7804</v>
      </c>
      <c r="F409" s="3">
        <v>5.1383415954589903E-15</v>
      </c>
      <c r="G409" s="1">
        <v>-1.5180084085813701</v>
      </c>
      <c r="H409" s="1">
        <v>2.5999999999999999E-2</v>
      </c>
      <c r="I409" s="1">
        <v>0.46700000000000003</v>
      </c>
      <c r="J409" s="1">
        <v>2</v>
      </c>
    </row>
    <row r="410" spans="1:10" x14ac:dyDescent="0.2">
      <c r="A410" s="1" t="s">
        <v>292</v>
      </c>
      <c r="B410" s="1" t="s">
        <v>291</v>
      </c>
      <c r="C410" s="1" t="s">
        <v>293</v>
      </c>
      <c r="D410" s="2" t="str">
        <f t="shared" si="6"/>
        <v>http://zfin.org/ZDB-GENE-070327-2</v>
      </c>
      <c r="E410" s="1" t="s">
        <v>7803</v>
      </c>
      <c r="F410" s="3">
        <v>5.0131981206255201E-39</v>
      </c>
      <c r="G410" s="1">
        <v>-1.51111863717257</v>
      </c>
      <c r="H410" s="1">
        <v>0.93899999999999995</v>
      </c>
      <c r="I410" s="1">
        <v>0.98299999999999998</v>
      </c>
      <c r="J410" s="1">
        <v>2</v>
      </c>
    </row>
    <row r="411" spans="1:10" x14ac:dyDescent="0.2">
      <c r="A411" s="1" t="s">
        <v>870</v>
      </c>
      <c r="B411" s="1" t="s">
        <v>869</v>
      </c>
      <c r="C411" s="1" t="s">
        <v>868</v>
      </c>
      <c r="D411" s="2" t="str">
        <f t="shared" si="6"/>
        <v>http://zfin.org/ZDB-GENE-071004-24</v>
      </c>
      <c r="E411" s="1" t="s">
        <v>7802</v>
      </c>
      <c r="F411" s="3">
        <v>1.55818349184318E-12</v>
      </c>
      <c r="G411" s="1">
        <v>-1.4767683256397599</v>
      </c>
      <c r="H411" s="1">
        <v>2.5999999999999999E-2</v>
      </c>
      <c r="I411" s="1">
        <v>0.46700000000000003</v>
      </c>
      <c r="J411" s="1">
        <v>2</v>
      </c>
    </row>
    <row r="412" spans="1:10" x14ac:dyDescent="0.2">
      <c r="A412" s="1" t="s">
        <v>931</v>
      </c>
      <c r="B412" s="1" t="s">
        <v>7801</v>
      </c>
      <c r="C412" s="1" t="s">
        <v>7800</v>
      </c>
      <c r="D412" s="2" t="str">
        <f t="shared" si="6"/>
        <v>http://zfin.org/ZDB-GENE-040808-35</v>
      </c>
      <c r="E412" s="1" t="s">
        <v>7799</v>
      </c>
      <c r="F412" s="3">
        <v>8.9878547516644006E-21</v>
      </c>
      <c r="G412" s="1">
        <v>-1.4560977503642201</v>
      </c>
      <c r="H412" s="1">
        <v>0.36799999999999999</v>
      </c>
      <c r="I412" s="1">
        <v>0.85</v>
      </c>
      <c r="J412" s="1">
        <v>2</v>
      </c>
    </row>
    <row r="413" spans="1:10" x14ac:dyDescent="0.2">
      <c r="A413" s="1" t="s">
        <v>2486</v>
      </c>
      <c r="B413" s="1" t="s">
        <v>2485</v>
      </c>
      <c r="C413" s="1" t="s">
        <v>2484</v>
      </c>
      <c r="D413" s="2" t="str">
        <f t="shared" si="6"/>
        <v>http://zfin.org/ZDB-GENE-050506-24</v>
      </c>
      <c r="E413" s="1" t="s">
        <v>7798</v>
      </c>
      <c r="F413" s="3">
        <v>7.5021245391793398E-29</v>
      </c>
      <c r="G413" s="1">
        <v>-1.4025153045190599</v>
      </c>
      <c r="H413" s="1">
        <v>0.86799999999999999</v>
      </c>
      <c r="I413" s="1">
        <v>0.95</v>
      </c>
      <c r="J413" s="1">
        <v>2</v>
      </c>
    </row>
    <row r="414" spans="1:10" x14ac:dyDescent="0.2">
      <c r="A414" s="1" t="s">
        <v>1561</v>
      </c>
      <c r="B414" s="1" t="s">
        <v>1560</v>
      </c>
      <c r="C414" s="1" t="s">
        <v>1559</v>
      </c>
      <c r="D414" s="2" t="str">
        <f t="shared" si="6"/>
        <v>http://zfin.org/ZDB-GENE-030131-5783</v>
      </c>
      <c r="E414" s="1" t="s">
        <v>7797</v>
      </c>
      <c r="F414" s="3">
        <v>1.8001069859999001E-12</v>
      </c>
      <c r="G414" s="1">
        <v>-1.3922531934454101</v>
      </c>
      <c r="H414" s="1">
        <v>6.0999999999999999E-2</v>
      </c>
      <c r="I414" s="1">
        <v>0.4</v>
      </c>
      <c r="J414" s="1">
        <v>2</v>
      </c>
    </row>
    <row r="415" spans="1:10" x14ac:dyDescent="0.2">
      <c r="A415" s="1" t="s">
        <v>1768</v>
      </c>
      <c r="B415" s="1" t="s">
        <v>1767</v>
      </c>
      <c r="C415" s="1" t="s">
        <v>1766</v>
      </c>
      <c r="D415" s="2" t="str">
        <f t="shared" si="6"/>
        <v>http://zfin.org/ZDB-GENE-010502-1</v>
      </c>
      <c r="E415" s="1" t="s">
        <v>7796</v>
      </c>
      <c r="F415" s="3">
        <v>2.8156058926950602E-22</v>
      </c>
      <c r="G415" s="1">
        <v>-1.3781040220092799</v>
      </c>
      <c r="H415" s="1">
        <v>0.83299999999999996</v>
      </c>
      <c r="I415" s="1">
        <v>0.93300000000000005</v>
      </c>
      <c r="J415" s="1">
        <v>2</v>
      </c>
    </row>
    <row r="416" spans="1:10" x14ac:dyDescent="0.2">
      <c r="A416" s="1" t="s">
        <v>861</v>
      </c>
      <c r="B416" s="1" t="s">
        <v>860</v>
      </c>
      <c r="C416" s="1" t="s">
        <v>859</v>
      </c>
      <c r="D416" s="2" t="str">
        <f t="shared" si="6"/>
        <v>http://zfin.org/ZDB-GENE-081105-161</v>
      </c>
      <c r="E416" s="1" t="s">
        <v>7795</v>
      </c>
      <c r="F416" s="3">
        <v>5.1587808806129103E-17</v>
      </c>
      <c r="G416" s="1">
        <v>-1.3651490755849001</v>
      </c>
      <c r="H416" s="1">
        <v>7.9000000000000001E-2</v>
      </c>
      <c r="I416" s="1">
        <v>0.55000000000000004</v>
      </c>
      <c r="J416" s="1">
        <v>2</v>
      </c>
    </row>
    <row r="417" spans="1:10" x14ac:dyDescent="0.2">
      <c r="A417" s="1" t="s">
        <v>1347</v>
      </c>
      <c r="B417" s="1" t="s">
        <v>1346</v>
      </c>
      <c r="C417" s="1" t="s">
        <v>1345</v>
      </c>
      <c r="D417" s="2" t="str">
        <f t="shared" si="6"/>
        <v>http://zfin.org/ZDB-GENE-980526-29</v>
      </c>
      <c r="E417" s="1" t="s">
        <v>7794</v>
      </c>
      <c r="F417" s="3">
        <v>1.64891499391463E-7</v>
      </c>
      <c r="G417" s="1">
        <v>-1.3603107188377701</v>
      </c>
      <c r="H417" s="1">
        <v>0.105</v>
      </c>
      <c r="I417" s="1">
        <v>0.33300000000000002</v>
      </c>
      <c r="J417" s="1">
        <v>2</v>
      </c>
    </row>
    <row r="418" spans="1:10" x14ac:dyDescent="0.2">
      <c r="A418" s="1" t="s">
        <v>7793</v>
      </c>
      <c r="B418" s="1" t="s">
        <v>7792</v>
      </c>
      <c r="D418" s="2" t="str">
        <f t="shared" si="6"/>
        <v>http://zfin.org/</v>
      </c>
      <c r="E418" s="1" t="s">
        <v>4625</v>
      </c>
      <c r="F418" s="3">
        <v>1.1939698055493999E-12</v>
      </c>
      <c r="G418" s="1">
        <v>-1.34703015578774</v>
      </c>
      <c r="H418" s="1">
        <v>0.316</v>
      </c>
      <c r="I418" s="1">
        <v>0.65</v>
      </c>
      <c r="J418" s="1">
        <v>2</v>
      </c>
    </row>
    <row r="419" spans="1:10" x14ac:dyDescent="0.2">
      <c r="A419" s="1" t="s">
        <v>934</v>
      </c>
      <c r="B419" s="1" t="s">
        <v>7791</v>
      </c>
      <c r="C419" s="1" t="s">
        <v>7790</v>
      </c>
      <c r="D419" s="2" t="str">
        <f t="shared" si="6"/>
        <v>http://zfin.org/ZDB-GENE-030925-31</v>
      </c>
      <c r="E419" s="1" t="s">
        <v>7789</v>
      </c>
      <c r="F419" s="3">
        <v>4.6677078227397903E-15</v>
      </c>
      <c r="G419" s="1">
        <v>-1.3342827831800399</v>
      </c>
      <c r="H419" s="1">
        <v>0.105</v>
      </c>
      <c r="I419" s="1">
        <v>0.66700000000000004</v>
      </c>
      <c r="J419" s="1">
        <v>2</v>
      </c>
    </row>
    <row r="420" spans="1:10" x14ac:dyDescent="0.2">
      <c r="A420" s="1" t="s">
        <v>2788</v>
      </c>
      <c r="B420" s="1" t="s">
        <v>2787</v>
      </c>
      <c r="C420" s="1" t="s">
        <v>2786</v>
      </c>
      <c r="D420" s="2" t="str">
        <f t="shared" si="6"/>
        <v>http://zfin.org/ZDB-GENE-980526-114</v>
      </c>
      <c r="E420" s="1" t="s">
        <v>7788</v>
      </c>
      <c r="F420" s="3">
        <v>9.6773447834943599E-15</v>
      </c>
      <c r="G420" s="1">
        <v>-1.3201426378215999</v>
      </c>
      <c r="H420" s="1">
        <v>0.14899999999999999</v>
      </c>
      <c r="I420" s="1">
        <v>0.51700000000000002</v>
      </c>
      <c r="J420" s="1">
        <v>2</v>
      </c>
    </row>
    <row r="421" spans="1:10" x14ac:dyDescent="0.2">
      <c r="A421" s="1" t="s">
        <v>2653</v>
      </c>
      <c r="B421" s="1" t="s">
        <v>2652</v>
      </c>
      <c r="C421" s="1" t="s">
        <v>2651</v>
      </c>
      <c r="D421" s="2" t="str">
        <f t="shared" si="6"/>
        <v>http://zfin.org/ZDB-GENE-141216-84</v>
      </c>
      <c r="E421" s="1" t="s">
        <v>7787</v>
      </c>
      <c r="F421" s="3">
        <v>2.3344825165029801E-19</v>
      </c>
      <c r="G421" s="1">
        <v>-1.3130812872041799</v>
      </c>
      <c r="H421" s="1">
        <v>0.86799999999999999</v>
      </c>
      <c r="I421" s="1">
        <v>0.86699999999999999</v>
      </c>
      <c r="J421" s="1">
        <v>2</v>
      </c>
    </row>
    <row r="422" spans="1:10" x14ac:dyDescent="0.2">
      <c r="A422" s="1" t="s">
        <v>232</v>
      </c>
      <c r="B422" s="1" t="s">
        <v>7786</v>
      </c>
      <c r="C422" s="1" t="s">
        <v>233</v>
      </c>
      <c r="D422" s="2" t="str">
        <f t="shared" si="6"/>
        <v>http://zfin.org/ZDB-GENE-030131-7528</v>
      </c>
      <c r="E422" s="1" t="s">
        <v>7785</v>
      </c>
      <c r="F422" s="3">
        <v>2.1694577821475201E-48</v>
      </c>
      <c r="G422" s="1">
        <v>-1.2820349652476899</v>
      </c>
      <c r="H422" s="1">
        <v>1</v>
      </c>
      <c r="I422" s="1">
        <v>1</v>
      </c>
      <c r="J422" s="1">
        <v>2</v>
      </c>
    </row>
    <row r="423" spans="1:10" x14ac:dyDescent="0.2">
      <c r="A423" s="1" t="s">
        <v>1042</v>
      </c>
      <c r="B423" s="1" t="s">
        <v>1041</v>
      </c>
      <c r="C423" s="1" t="s">
        <v>1040</v>
      </c>
      <c r="D423" s="2" t="str">
        <f t="shared" si="6"/>
        <v>http://zfin.org/ZDB-GENE-040426-1102</v>
      </c>
      <c r="E423" s="1" t="s">
        <v>7784</v>
      </c>
      <c r="F423" s="3">
        <v>5.1691914455812504E-31</v>
      </c>
      <c r="G423" s="1">
        <v>-1.2568212663226599</v>
      </c>
      <c r="H423" s="1">
        <v>0.94699999999999995</v>
      </c>
      <c r="I423" s="1">
        <v>0.98299999999999998</v>
      </c>
      <c r="J423" s="1">
        <v>2</v>
      </c>
    </row>
    <row r="424" spans="1:10" x14ac:dyDescent="0.2">
      <c r="A424" s="1" t="s">
        <v>7783</v>
      </c>
      <c r="B424" s="1" t="s">
        <v>7782</v>
      </c>
      <c r="C424" s="1" t="s">
        <v>7781</v>
      </c>
      <c r="D424" s="2" t="str">
        <f t="shared" si="6"/>
        <v>http://zfin.org/ZDB-GENE-030131-8556</v>
      </c>
      <c r="E424" s="1" t="s">
        <v>7780</v>
      </c>
      <c r="F424" s="3">
        <v>3.7253081124281697E-21</v>
      </c>
      <c r="G424" s="1">
        <v>-1.24201399939463</v>
      </c>
      <c r="H424" s="1">
        <v>0.80700000000000005</v>
      </c>
      <c r="I424" s="1">
        <v>0.9</v>
      </c>
      <c r="J424" s="1">
        <v>2</v>
      </c>
    </row>
    <row r="425" spans="1:10" x14ac:dyDescent="0.2">
      <c r="A425" s="1" t="s">
        <v>160</v>
      </c>
      <c r="B425" s="1" t="s">
        <v>159</v>
      </c>
      <c r="C425" s="1" t="s">
        <v>161</v>
      </c>
      <c r="D425" s="2" t="str">
        <f t="shared" si="6"/>
        <v>http://zfin.org/ZDB-GENE-030131-8663</v>
      </c>
      <c r="E425" s="1" t="s">
        <v>7779</v>
      </c>
      <c r="F425" s="3">
        <v>2.8297730309160499E-36</v>
      </c>
      <c r="G425" s="1">
        <v>-1.19674312459271</v>
      </c>
      <c r="H425" s="1">
        <v>1</v>
      </c>
      <c r="I425" s="1">
        <v>1</v>
      </c>
      <c r="J425" s="1">
        <v>2</v>
      </c>
    </row>
    <row r="426" spans="1:10" x14ac:dyDescent="0.2">
      <c r="A426" s="1" t="s">
        <v>882</v>
      </c>
      <c r="B426" s="1" t="s">
        <v>881</v>
      </c>
      <c r="C426" s="1" t="s">
        <v>880</v>
      </c>
      <c r="D426" s="2" t="str">
        <f t="shared" si="6"/>
        <v>http://zfin.org/ZDB-GENE-040724-166</v>
      </c>
      <c r="E426" s="1" t="s">
        <v>7778</v>
      </c>
      <c r="F426" s="3">
        <v>1.00655486169536E-15</v>
      </c>
      <c r="G426" s="1">
        <v>-1.19479845254412</v>
      </c>
      <c r="H426" s="1">
        <v>7.9000000000000001E-2</v>
      </c>
      <c r="I426" s="1">
        <v>0.56699999999999995</v>
      </c>
      <c r="J426" s="1">
        <v>2</v>
      </c>
    </row>
    <row r="427" spans="1:10" x14ac:dyDescent="0.2">
      <c r="A427" s="1" t="s">
        <v>7777</v>
      </c>
      <c r="B427" s="1" t="s">
        <v>901</v>
      </c>
      <c r="C427" s="1" t="s">
        <v>7776</v>
      </c>
      <c r="D427" s="2" t="str">
        <f t="shared" si="6"/>
        <v>http://zfin.org/ZDB-GENE-030131-2249</v>
      </c>
      <c r="E427" s="1" t="s">
        <v>7775</v>
      </c>
      <c r="F427" s="3">
        <v>2.15802404414791E-23</v>
      </c>
      <c r="G427" s="1">
        <v>-1.1944207499737201</v>
      </c>
      <c r="H427" s="1">
        <v>0.57899999999999996</v>
      </c>
      <c r="I427" s="1">
        <v>0.86699999999999999</v>
      </c>
      <c r="J427" s="1">
        <v>2</v>
      </c>
    </row>
    <row r="428" spans="1:10" x14ac:dyDescent="0.2">
      <c r="A428" s="1" t="s">
        <v>1383</v>
      </c>
      <c r="B428" s="1" t="s">
        <v>1382</v>
      </c>
      <c r="C428" s="1" t="s">
        <v>1381</v>
      </c>
      <c r="D428" s="2" t="str">
        <f t="shared" si="6"/>
        <v>http://zfin.org/ZDB-GENE-040426-2879</v>
      </c>
      <c r="E428" s="1" t="s">
        <v>7774</v>
      </c>
      <c r="F428" s="3">
        <v>2.1728444329866001E-12</v>
      </c>
      <c r="G428" s="1">
        <v>-1.17904989625088</v>
      </c>
      <c r="H428" s="1">
        <v>0.98199999999999998</v>
      </c>
      <c r="I428" s="1">
        <v>0.98299999999999998</v>
      </c>
      <c r="J428" s="1">
        <v>2</v>
      </c>
    </row>
    <row r="429" spans="1:10" x14ac:dyDescent="0.2">
      <c r="A429" s="1" t="s">
        <v>7773</v>
      </c>
      <c r="B429" s="1" t="s">
        <v>7772</v>
      </c>
      <c r="C429" s="1" t="s">
        <v>7771</v>
      </c>
      <c r="D429" s="2" t="str">
        <f t="shared" si="6"/>
        <v>http://zfin.org/ZDB-GENE-040426-2516</v>
      </c>
      <c r="E429" s="1" t="s">
        <v>7770</v>
      </c>
      <c r="F429" s="3">
        <v>8.8275424591228594E-21</v>
      </c>
      <c r="G429" s="1">
        <v>-1.17266048566508</v>
      </c>
      <c r="H429" s="1">
        <v>0.77200000000000002</v>
      </c>
      <c r="I429" s="1">
        <v>0.9</v>
      </c>
      <c r="J429" s="1">
        <v>2</v>
      </c>
    </row>
    <row r="430" spans="1:10" x14ac:dyDescent="0.2">
      <c r="A430" s="1" t="s">
        <v>2143</v>
      </c>
      <c r="B430" s="1" t="s">
        <v>2142</v>
      </c>
      <c r="C430" s="1" t="s">
        <v>2141</v>
      </c>
      <c r="D430" s="2" t="str">
        <f t="shared" si="6"/>
        <v>http://zfin.org/ZDB-GENE-990415-47</v>
      </c>
      <c r="E430" s="1" t="s">
        <v>7769</v>
      </c>
      <c r="F430" s="3">
        <v>1.63707984905429E-10</v>
      </c>
      <c r="G430" s="1">
        <v>-1.17213354123528</v>
      </c>
      <c r="H430" s="1">
        <v>8.9999999999999993E-3</v>
      </c>
      <c r="I430" s="1">
        <v>0.38300000000000001</v>
      </c>
      <c r="J430" s="1">
        <v>2</v>
      </c>
    </row>
    <row r="431" spans="1:10" x14ac:dyDescent="0.2">
      <c r="A431" s="1" t="s">
        <v>241</v>
      </c>
      <c r="B431" s="1" t="s">
        <v>240</v>
      </c>
      <c r="C431" s="1" t="s">
        <v>242</v>
      </c>
      <c r="D431" s="2" t="str">
        <f t="shared" si="6"/>
        <v>http://zfin.org/ZDB-GENE-040718-190</v>
      </c>
      <c r="E431" s="1" t="s">
        <v>7768</v>
      </c>
      <c r="F431" s="3">
        <v>9.5660966497564403E-32</v>
      </c>
      <c r="G431" s="1">
        <v>-1.17175171673001</v>
      </c>
      <c r="H431" s="1">
        <v>0.96499999999999997</v>
      </c>
      <c r="I431" s="1">
        <v>0.95</v>
      </c>
      <c r="J431" s="1">
        <v>2</v>
      </c>
    </row>
    <row r="432" spans="1:10" x14ac:dyDescent="0.2">
      <c r="A432" s="1" t="s">
        <v>585</v>
      </c>
      <c r="B432" s="1" t="s">
        <v>584</v>
      </c>
      <c r="C432" s="1" t="s">
        <v>583</v>
      </c>
      <c r="D432" s="2" t="str">
        <f t="shared" si="6"/>
        <v>http://zfin.org/ZDB-GENE-090507-4</v>
      </c>
      <c r="E432" s="1" t="s">
        <v>7767</v>
      </c>
      <c r="F432" s="3">
        <v>3.81995393215953E-17</v>
      </c>
      <c r="G432" s="1">
        <v>-1.1714337350205299</v>
      </c>
      <c r="H432" s="1">
        <v>0.97399999999999998</v>
      </c>
      <c r="I432" s="1">
        <v>1</v>
      </c>
      <c r="J432" s="1">
        <v>2</v>
      </c>
    </row>
    <row r="433" spans="1:10" x14ac:dyDescent="0.2">
      <c r="A433" s="1" t="s">
        <v>7766</v>
      </c>
      <c r="B433" s="1" t="s">
        <v>7765</v>
      </c>
      <c r="C433" s="1" t="s">
        <v>7764</v>
      </c>
      <c r="D433" s="2" t="str">
        <f t="shared" si="6"/>
        <v>http://zfin.org/ZDB-GENE-030131-185</v>
      </c>
      <c r="E433" s="1" t="s">
        <v>7763</v>
      </c>
      <c r="F433" s="3">
        <v>5.5196096513218205E-26</v>
      </c>
      <c r="G433" s="1">
        <v>-1.1600673771629599</v>
      </c>
      <c r="H433" s="1">
        <v>0.89500000000000002</v>
      </c>
      <c r="I433" s="1">
        <v>0.85</v>
      </c>
      <c r="J433" s="1">
        <v>2</v>
      </c>
    </row>
    <row r="434" spans="1:10" x14ac:dyDescent="0.2">
      <c r="A434" s="1" t="s">
        <v>151</v>
      </c>
      <c r="B434" s="1" t="s">
        <v>150</v>
      </c>
      <c r="C434" s="1" t="s">
        <v>152</v>
      </c>
      <c r="D434" s="2" t="str">
        <f t="shared" si="6"/>
        <v>http://zfin.org/ZDB-GENE-020419-25</v>
      </c>
      <c r="E434" s="1" t="s">
        <v>7762</v>
      </c>
      <c r="F434" s="3">
        <v>4.2832875092896502E-30</v>
      </c>
      <c r="G434" s="1">
        <v>-1.1567092992469401</v>
      </c>
      <c r="H434" s="1">
        <v>0.95599999999999996</v>
      </c>
      <c r="I434" s="1">
        <v>0.96699999999999997</v>
      </c>
      <c r="J434" s="1">
        <v>2</v>
      </c>
    </row>
    <row r="435" spans="1:10" x14ac:dyDescent="0.2">
      <c r="A435" s="1" t="s">
        <v>1039</v>
      </c>
      <c r="B435" s="1" t="s">
        <v>1038</v>
      </c>
      <c r="C435" s="1" t="s">
        <v>1037</v>
      </c>
      <c r="D435" s="2" t="str">
        <f t="shared" si="6"/>
        <v>http://zfin.org/ZDB-GENE-010724-15</v>
      </c>
      <c r="E435" s="1" t="s">
        <v>7761</v>
      </c>
      <c r="F435" s="3">
        <v>6.9166049365249902E-28</v>
      </c>
      <c r="G435" s="1">
        <v>-1.15177083218243</v>
      </c>
      <c r="H435" s="1">
        <v>0.96499999999999997</v>
      </c>
      <c r="I435" s="1">
        <v>1</v>
      </c>
      <c r="J435" s="1">
        <v>2</v>
      </c>
    </row>
    <row r="436" spans="1:10" x14ac:dyDescent="0.2">
      <c r="A436" s="1" t="s">
        <v>3397</v>
      </c>
      <c r="B436" s="1" t="s">
        <v>3396</v>
      </c>
      <c r="C436" s="1" t="s">
        <v>3395</v>
      </c>
      <c r="D436" s="2" t="str">
        <f t="shared" si="6"/>
        <v>http://zfin.org/ZDB-GENE-030131-618</v>
      </c>
      <c r="E436" s="1" t="s">
        <v>7760</v>
      </c>
      <c r="F436" s="3">
        <v>6.5246851070973299E-21</v>
      </c>
      <c r="G436" s="1">
        <v>-1.1505185086263301</v>
      </c>
      <c r="H436" s="1">
        <v>0.86</v>
      </c>
      <c r="I436" s="1">
        <v>0.93300000000000005</v>
      </c>
      <c r="J436" s="1">
        <v>2</v>
      </c>
    </row>
    <row r="437" spans="1:10" x14ac:dyDescent="0.2">
      <c r="A437" s="1" t="s">
        <v>7759</v>
      </c>
      <c r="B437" s="1" t="s">
        <v>1056</v>
      </c>
      <c r="C437" s="1" t="s">
        <v>1055</v>
      </c>
      <c r="D437" s="2" t="str">
        <f t="shared" si="6"/>
        <v>http://zfin.org/ZDB-GENE-040625-39</v>
      </c>
      <c r="E437" s="1" t="s">
        <v>7758</v>
      </c>
      <c r="F437" s="3">
        <v>5.1232044852732197E-34</v>
      </c>
      <c r="G437" s="1">
        <v>-1.1495082061019799</v>
      </c>
      <c r="H437" s="1">
        <v>1</v>
      </c>
      <c r="I437" s="1">
        <v>1</v>
      </c>
      <c r="J437" s="1">
        <v>2</v>
      </c>
    </row>
    <row r="438" spans="1:10" x14ac:dyDescent="0.2">
      <c r="A438" s="1" t="s">
        <v>1943</v>
      </c>
      <c r="B438" s="1" t="s">
        <v>1942</v>
      </c>
      <c r="C438" s="1" t="s">
        <v>1941</v>
      </c>
      <c r="D438" s="2" t="str">
        <f t="shared" si="6"/>
        <v>http://zfin.org/ZDB-GENE-000210-25</v>
      </c>
      <c r="E438" s="1" t="s">
        <v>7757</v>
      </c>
      <c r="F438" s="3">
        <v>5.4816415694742898E-17</v>
      </c>
      <c r="G438" s="1">
        <v>-1.12833292018922</v>
      </c>
      <c r="H438" s="1">
        <v>0.83299999999999996</v>
      </c>
      <c r="I438" s="1">
        <v>0.93300000000000005</v>
      </c>
      <c r="J438" s="1">
        <v>2</v>
      </c>
    </row>
    <row r="439" spans="1:10" x14ac:dyDescent="0.2">
      <c r="A439" s="1" t="s">
        <v>843</v>
      </c>
      <c r="B439" s="1" t="s">
        <v>842</v>
      </c>
      <c r="C439" s="1" t="s">
        <v>7756</v>
      </c>
      <c r="D439" s="2" t="str">
        <f t="shared" si="6"/>
        <v>http://zfin.org/ZDB-GENE-030131-5561</v>
      </c>
      <c r="E439" s="1" t="s">
        <v>7755</v>
      </c>
      <c r="F439" s="3">
        <v>6.2562384567813897E-20</v>
      </c>
      <c r="G439" s="1">
        <v>-1.12831377136974</v>
      </c>
      <c r="H439" s="1">
        <v>0.16700000000000001</v>
      </c>
      <c r="I439" s="1">
        <v>0.61699999999999999</v>
      </c>
      <c r="J439" s="1">
        <v>2</v>
      </c>
    </row>
    <row r="440" spans="1:10" x14ac:dyDescent="0.2">
      <c r="A440" s="1" t="s">
        <v>3384</v>
      </c>
      <c r="B440" s="1" t="s">
        <v>3383</v>
      </c>
      <c r="C440" s="1" t="s">
        <v>3382</v>
      </c>
      <c r="D440" s="2" t="str">
        <f t="shared" si="6"/>
        <v>http://zfin.org/ZDB-GENE-030131-461</v>
      </c>
      <c r="E440" s="1" t="s">
        <v>7754</v>
      </c>
      <c r="F440" s="3">
        <v>1.22462469690664E-13</v>
      </c>
      <c r="G440" s="1">
        <v>-1.1237485549194299</v>
      </c>
      <c r="H440" s="1">
        <v>0.22800000000000001</v>
      </c>
      <c r="I440" s="1">
        <v>0.56699999999999995</v>
      </c>
      <c r="J440" s="1">
        <v>2</v>
      </c>
    </row>
    <row r="441" spans="1:10" x14ac:dyDescent="0.2">
      <c r="A441" s="1" t="s">
        <v>2384</v>
      </c>
      <c r="B441" s="1" t="s">
        <v>2383</v>
      </c>
      <c r="C441" s="1" t="s">
        <v>2382</v>
      </c>
      <c r="D441" s="2" t="str">
        <f t="shared" si="6"/>
        <v>http://zfin.org/ZDB-GENE-030707-2</v>
      </c>
      <c r="E441" s="1" t="s">
        <v>7753</v>
      </c>
      <c r="F441" s="3">
        <v>1.3501632652825701E-7</v>
      </c>
      <c r="G441" s="1">
        <v>-1.11613973451854</v>
      </c>
      <c r="H441" s="1">
        <v>7.9000000000000001E-2</v>
      </c>
      <c r="I441" s="1">
        <v>0.11700000000000001</v>
      </c>
      <c r="J441" s="1">
        <v>2</v>
      </c>
    </row>
    <row r="442" spans="1:10" x14ac:dyDescent="0.2">
      <c r="A442" s="1" t="s">
        <v>591</v>
      </c>
      <c r="B442" s="1" t="s">
        <v>590</v>
      </c>
      <c r="C442" s="1" t="s">
        <v>589</v>
      </c>
      <c r="D442" s="2" t="str">
        <f t="shared" si="6"/>
        <v>http://zfin.org/ZDB-GENE-061114-1</v>
      </c>
      <c r="E442" s="1" t="s">
        <v>7752</v>
      </c>
      <c r="F442" s="3">
        <v>1.4503086011137E-14</v>
      </c>
      <c r="G442" s="1">
        <v>-1.1157868917152001</v>
      </c>
      <c r="H442" s="1">
        <v>0.90400000000000003</v>
      </c>
      <c r="I442" s="1">
        <v>0.96699999999999997</v>
      </c>
      <c r="J442" s="1">
        <v>2</v>
      </c>
    </row>
    <row r="443" spans="1:10" x14ac:dyDescent="0.2">
      <c r="A443" s="1" t="s">
        <v>958</v>
      </c>
      <c r="B443" s="1" t="s">
        <v>957</v>
      </c>
      <c r="C443" s="1" t="s">
        <v>956</v>
      </c>
      <c r="D443" s="2" t="str">
        <f t="shared" si="6"/>
        <v>http://zfin.org/ZDB-GENE-040426-1788</v>
      </c>
      <c r="E443" s="1" t="s">
        <v>7751</v>
      </c>
      <c r="F443" s="3">
        <v>1.2552596267985E-26</v>
      </c>
      <c r="G443" s="1">
        <v>-1.1138525353270201</v>
      </c>
      <c r="H443" s="1">
        <v>0.84199999999999997</v>
      </c>
      <c r="I443" s="1">
        <v>0.95</v>
      </c>
      <c r="J443" s="1">
        <v>2</v>
      </c>
    </row>
    <row r="444" spans="1:10" x14ac:dyDescent="0.2">
      <c r="A444" s="1" t="s">
        <v>286</v>
      </c>
      <c r="B444" s="1" t="s">
        <v>285</v>
      </c>
      <c r="C444" s="1" t="s">
        <v>287</v>
      </c>
      <c r="D444" s="2" t="str">
        <f t="shared" si="6"/>
        <v>http://zfin.org/ZDB-GENE-030131-8626</v>
      </c>
      <c r="E444" s="1" t="s">
        <v>7750</v>
      </c>
      <c r="F444" s="3">
        <v>1.78781761901974E-29</v>
      </c>
      <c r="G444" s="1">
        <v>-1.1053134324813501</v>
      </c>
      <c r="H444" s="1">
        <v>0.96499999999999997</v>
      </c>
      <c r="I444" s="1">
        <v>1</v>
      </c>
      <c r="J444" s="1">
        <v>2</v>
      </c>
    </row>
    <row r="445" spans="1:10" x14ac:dyDescent="0.2">
      <c r="A445" s="1" t="s">
        <v>1012</v>
      </c>
      <c r="B445" s="1" t="s">
        <v>1011</v>
      </c>
      <c r="C445" s="1" t="s">
        <v>1010</v>
      </c>
      <c r="D445" s="2" t="str">
        <f t="shared" si="6"/>
        <v>http://zfin.org/ZDB-GENE-031007-1</v>
      </c>
      <c r="E445" s="1" t="s">
        <v>7749</v>
      </c>
      <c r="F445" s="3">
        <v>1.10237196377712E-24</v>
      </c>
      <c r="G445" s="1">
        <v>-1.1043055960266199</v>
      </c>
      <c r="H445" s="1">
        <v>0.92100000000000004</v>
      </c>
      <c r="I445" s="1">
        <v>0.98299999999999998</v>
      </c>
      <c r="J445" s="1">
        <v>2</v>
      </c>
    </row>
    <row r="446" spans="1:10" x14ac:dyDescent="0.2">
      <c r="A446" s="1" t="s">
        <v>858</v>
      </c>
      <c r="B446" s="1" t="s">
        <v>857</v>
      </c>
      <c r="C446" s="1" t="s">
        <v>856</v>
      </c>
      <c r="D446" s="2" t="str">
        <f t="shared" si="6"/>
        <v>http://zfin.org/ZDB-GENE-040930-9</v>
      </c>
      <c r="E446" s="1" t="s">
        <v>7748</v>
      </c>
      <c r="F446" s="3">
        <v>4.5599065158867302E-21</v>
      </c>
      <c r="G446" s="1">
        <v>-1.1006806437108501</v>
      </c>
      <c r="H446" s="1">
        <v>0.39500000000000002</v>
      </c>
      <c r="I446" s="1">
        <v>0.78300000000000003</v>
      </c>
      <c r="J446" s="1">
        <v>2</v>
      </c>
    </row>
    <row r="447" spans="1:10" x14ac:dyDescent="0.2">
      <c r="A447" s="1" t="s">
        <v>1024</v>
      </c>
      <c r="B447" s="1" t="s">
        <v>1023</v>
      </c>
      <c r="C447" s="1" t="s">
        <v>1022</v>
      </c>
      <c r="D447" s="2" t="str">
        <f t="shared" si="6"/>
        <v>http://zfin.org/ZDB-GENE-040625-52</v>
      </c>
      <c r="E447" s="1" t="s">
        <v>7747</v>
      </c>
      <c r="F447" s="3">
        <v>3.8654540964793701E-31</v>
      </c>
      <c r="G447" s="1">
        <v>-1.0982314985817001</v>
      </c>
      <c r="H447" s="1">
        <v>0.97399999999999998</v>
      </c>
      <c r="I447" s="1">
        <v>0.96699999999999997</v>
      </c>
      <c r="J447" s="1">
        <v>2</v>
      </c>
    </row>
    <row r="448" spans="1:10" x14ac:dyDescent="0.2">
      <c r="A448" s="1" t="s">
        <v>1030</v>
      </c>
      <c r="B448" s="1" t="s">
        <v>1029</v>
      </c>
      <c r="C448" s="1" t="s">
        <v>1028</v>
      </c>
      <c r="D448" s="2" t="str">
        <f t="shared" si="6"/>
        <v>http://zfin.org/ZDB-GENE-030131-1291</v>
      </c>
      <c r="E448" s="1" t="s">
        <v>7746</v>
      </c>
      <c r="F448" s="3">
        <v>4.8598324031732097E-27</v>
      </c>
      <c r="G448" s="1">
        <v>-1.09469332948904</v>
      </c>
      <c r="H448" s="1">
        <v>0.97399999999999998</v>
      </c>
      <c r="I448" s="1">
        <v>1</v>
      </c>
      <c r="J448" s="1">
        <v>2</v>
      </c>
    </row>
    <row r="449" spans="1:10" x14ac:dyDescent="0.2">
      <c r="A449" s="1" t="s">
        <v>1033</v>
      </c>
      <c r="B449" s="1" t="s">
        <v>1032</v>
      </c>
      <c r="C449" s="1" t="s">
        <v>1031</v>
      </c>
      <c r="D449" s="2" t="str">
        <f t="shared" si="6"/>
        <v>http://zfin.org/ZDB-GENE-030131-8951</v>
      </c>
      <c r="E449" s="1" t="s">
        <v>7745</v>
      </c>
      <c r="F449" s="3">
        <v>1.0915048171565899E-29</v>
      </c>
      <c r="G449" s="1">
        <v>-1.08960816178325</v>
      </c>
      <c r="H449" s="1">
        <v>0.98199999999999998</v>
      </c>
      <c r="I449" s="1">
        <v>0.98299999999999998</v>
      </c>
      <c r="J449" s="1">
        <v>2</v>
      </c>
    </row>
    <row r="450" spans="1:10" x14ac:dyDescent="0.2">
      <c r="A450" s="1" t="s">
        <v>301</v>
      </c>
      <c r="B450" s="1" t="s">
        <v>300</v>
      </c>
      <c r="C450" s="1" t="s">
        <v>302</v>
      </c>
      <c r="D450" s="2" t="str">
        <f t="shared" ref="D450:D513" si="7">HYPERLINK(E450)</f>
        <v>http://zfin.org/ZDB-GENE-030131-8752</v>
      </c>
      <c r="E450" s="1" t="s">
        <v>7744</v>
      </c>
      <c r="F450" s="3">
        <v>5.3832605914838101E-28</v>
      </c>
      <c r="G450" s="1">
        <v>-1.0844665751970399</v>
      </c>
      <c r="H450" s="1">
        <v>0.93</v>
      </c>
      <c r="I450" s="1">
        <v>0.95</v>
      </c>
      <c r="J450" s="1">
        <v>2</v>
      </c>
    </row>
    <row r="451" spans="1:10" x14ac:dyDescent="0.2">
      <c r="A451" s="1" t="s">
        <v>1048</v>
      </c>
      <c r="B451" s="1" t="s">
        <v>1047</v>
      </c>
      <c r="C451" s="1" t="s">
        <v>1046</v>
      </c>
      <c r="D451" s="2" t="str">
        <f t="shared" si="7"/>
        <v>http://zfin.org/ZDB-GENE-020423-1</v>
      </c>
      <c r="E451" s="1" t="s">
        <v>7743</v>
      </c>
      <c r="F451" s="3">
        <v>1.4623048577276E-29</v>
      </c>
      <c r="G451" s="1">
        <v>-1.0843972390265</v>
      </c>
      <c r="H451" s="1">
        <v>0.98199999999999998</v>
      </c>
      <c r="I451" s="1">
        <v>1</v>
      </c>
      <c r="J451" s="1">
        <v>2</v>
      </c>
    </row>
    <row r="452" spans="1:10" x14ac:dyDescent="0.2">
      <c r="A452" s="1" t="s">
        <v>7742</v>
      </c>
      <c r="B452" s="1" t="s">
        <v>7741</v>
      </c>
      <c r="C452" s="1" t="s">
        <v>7740</v>
      </c>
      <c r="D452" s="2" t="str">
        <f t="shared" si="7"/>
        <v>http://zfin.org/ZDB-GENE-041201-1</v>
      </c>
      <c r="E452" s="1" t="s">
        <v>7739</v>
      </c>
      <c r="F452" s="3">
        <v>6.3400908286638403E-11</v>
      </c>
      <c r="G452" s="1">
        <v>-1.08304760588424</v>
      </c>
      <c r="H452" s="1">
        <v>0</v>
      </c>
      <c r="I452" s="1">
        <v>0.35</v>
      </c>
      <c r="J452" s="1">
        <v>2</v>
      </c>
    </row>
    <row r="453" spans="1:10" x14ac:dyDescent="0.2">
      <c r="A453" s="1" t="s">
        <v>1027</v>
      </c>
      <c r="B453" s="1" t="s">
        <v>1026</v>
      </c>
      <c r="C453" s="1" t="s">
        <v>1025</v>
      </c>
      <c r="D453" s="2" t="str">
        <f t="shared" si="7"/>
        <v>http://zfin.org/ZDB-GENE-040426-2284</v>
      </c>
      <c r="E453" s="1" t="s">
        <v>7738</v>
      </c>
      <c r="F453" s="3">
        <v>4.8273721579269301E-29</v>
      </c>
      <c r="G453" s="1">
        <v>-1.0762384468830499</v>
      </c>
      <c r="H453" s="1">
        <v>1</v>
      </c>
      <c r="I453" s="1">
        <v>1</v>
      </c>
      <c r="J453" s="1">
        <v>2</v>
      </c>
    </row>
    <row r="454" spans="1:10" x14ac:dyDescent="0.2">
      <c r="A454" s="1" t="s">
        <v>991</v>
      </c>
      <c r="B454" s="1" t="s">
        <v>990</v>
      </c>
      <c r="C454" s="1" t="s">
        <v>989</v>
      </c>
      <c r="D454" s="2" t="str">
        <f t="shared" si="7"/>
        <v>http://zfin.org/ZDB-GENE-030131-7479</v>
      </c>
      <c r="E454" s="1" t="s">
        <v>7737</v>
      </c>
      <c r="F454" s="3">
        <v>5.2748666746262101E-29</v>
      </c>
      <c r="G454" s="1">
        <v>-1.0761722200792201</v>
      </c>
      <c r="H454" s="1">
        <v>0.80700000000000005</v>
      </c>
      <c r="I454" s="1">
        <v>0.95</v>
      </c>
      <c r="J454" s="1">
        <v>2</v>
      </c>
    </row>
    <row r="455" spans="1:10" x14ac:dyDescent="0.2">
      <c r="A455" s="1" t="s">
        <v>223</v>
      </c>
      <c r="B455" s="1" t="s">
        <v>7736</v>
      </c>
      <c r="C455" s="1" t="s">
        <v>7735</v>
      </c>
      <c r="D455" s="2" t="str">
        <f t="shared" si="7"/>
        <v>http://zfin.org/ZDB-GENE-040801-167</v>
      </c>
      <c r="E455" s="1" t="s">
        <v>7734</v>
      </c>
      <c r="F455" s="3">
        <v>7.84834564144178E-28</v>
      </c>
      <c r="G455" s="1">
        <v>-1.07450921141207</v>
      </c>
      <c r="H455" s="1">
        <v>0.97399999999999998</v>
      </c>
      <c r="I455" s="1">
        <v>1</v>
      </c>
      <c r="J455" s="1">
        <v>2</v>
      </c>
    </row>
    <row r="456" spans="1:10" x14ac:dyDescent="0.2">
      <c r="A456" s="1" t="s">
        <v>1407</v>
      </c>
      <c r="B456" s="1" t="s">
        <v>1406</v>
      </c>
      <c r="C456" s="1" t="s">
        <v>1405</v>
      </c>
      <c r="D456" s="2" t="str">
        <f t="shared" si="7"/>
        <v>http://zfin.org/ZDB-GENE-030131-7647</v>
      </c>
      <c r="E456" s="1" t="s">
        <v>7733</v>
      </c>
      <c r="F456" s="3">
        <v>2.489387965083E-15</v>
      </c>
      <c r="G456" s="1">
        <v>-1.07184203914899</v>
      </c>
      <c r="H456" s="1">
        <v>0.72799999999999998</v>
      </c>
      <c r="I456" s="1">
        <v>0.85</v>
      </c>
      <c r="J456" s="1">
        <v>2</v>
      </c>
    </row>
    <row r="457" spans="1:10" x14ac:dyDescent="0.2">
      <c r="A457" s="1" t="s">
        <v>952</v>
      </c>
      <c r="B457" s="1" t="s">
        <v>951</v>
      </c>
      <c r="C457" s="1" t="s">
        <v>950</v>
      </c>
      <c r="D457" s="2" t="str">
        <f t="shared" si="7"/>
        <v>http://zfin.org/ZDB-GENE-040109-5</v>
      </c>
      <c r="E457" s="1" t="s">
        <v>7732</v>
      </c>
      <c r="F457" s="3">
        <v>7.4750131009329E-26</v>
      </c>
      <c r="G457" s="1">
        <v>-1.0713373790943901</v>
      </c>
      <c r="H457" s="1">
        <v>0.94699999999999995</v>
      </c>
      <c r="I457" s="1">
        <v>0.95</v>
      </c>
      <c r="J457" s="1">
        <v>2</v>
      </c>
    </row>
    <row r="458" spans="1:10" x14ac:dyDescent="0.2">
      <c r="A458" s="1" t="s">
        <v>3276</v>
      </c>
      <c r="B458" s="1" t="s">
        <v>3275</v>
      </c>
      <c r="C458" s="1" t="s">
        <v>7731</v>
      </c>
      <c r="D458" s="2" t="str">
        <f t="shared" si="7"/>
        <v>http://zfin.org/ZDB-GENE-030131-2221</v>
      </c>
      <c r="E458" s="1" t="s">
        <v>7730</v>
      </c>
      <c r="F458" s="3">
        <v>2.7648193681960998E-18</v>
      </c>
      <c r="G458" s="1">
        <v>-1.0678602380745299</v>
      </c>
      <c r="H458" s="1">
        <v>0.623</v>
      </c>
      <c r="I458" s="1">
        <v>0.71699999999999997</v>
      </c>
      <c r="J458" s="1">
        <v>2</v>
      </c>
    </row>
    <row r="459" spans="1:10" x14ac:dyDescent="0.2">
      <c r="A459" s="1" t="s">
        <v>2656</v>
      </c>
      <c r="B459" s="1" t="s">
        <v>2655</v>
      </c>
      <c r="C459" s="1" t="s">
        <v>2654</v>
      </c>
      <c r="D459" s="2" t="str">
        <f t="shared" si="7"/>
        <v>http://zfin.org/ZDB-GENE-131120-172</v>
      </c>
      <c r="E459" s="1" t="s">
        <v>7729</v>
      </c>
      <c r="F459" s="3">
        <v>2.3806502923433201E-15</v>
      </c>
      <c r="G459" s="1">
        <v>-1.0676353105256899</v>
      </c>
      <c r="H459" s="1">
        <v>0.89500000000000002</v>
      </c>
      <c r="I459" s="1">
        <v>0.83299999999999996</v>
      </c>
      <c r="J459" s="1">
        <v>2</v>
      </c>
    </row>
    <row r="460" spans="1:10" x14ac:dyDescent="0.2">
      <c r="A460" s="1" t="s">
        <v>970</v>
      </c>
      <c r="B460" s="1" t="s">
        <v>969</v>
      </c>
      <c r="C460" s="1" t="s">
        <v>968</v>
      </c>
      <c r="D460" s="2" t="str">
        <f t="shared" si="7"/>
        <v>http://zfin.org/ZDB-GENE-060331-121</v>
      </c>
      <c r="E460" s="1" t="s">
        <v>7728</v>
      </c>
      <c r="F460" s="3">
        <v>1.6047613006505101E-24</v>
      </c>
      <c r="G460" s="1">
        <v>-1.06661430899973</v>
      </c>
      <c r="H460" s="1">
        <v>0.78900000000000003</v>
      </c>
      <c r="I460" s="1">
        <v>0.95</v>
      </c>
      <c r="J460" s="1">
        <v>2</v>
      </c>
    </row>
    <row r="461" spans="1:10" x14ac:dyDescent="0.2">
      <c r="A461" s="1" t="s">
        <v>1036</v>
      </c>
      <c r="B461" s="1" t="s">
        <v>1035</v>
      </c>
      <c r="C461" s="1" t="s">
        <v>1034</v>
      </c>
      <c r="D461" s="2" t="str">
        <f t="shared" si="7"/>
        <v>http://zfin.org/ZDB-GENE-040622-5</v>
      </c>
      <c r="E461" s="1" t="s">
        <v>7727</v>
      </c>
      <c r="F461" s="3">
        <v>5.8172230773569798E-30</v>
      </c>
      <c r="G461" s="1">
        <v>-1.0631786942806001</v>
      </c>
      <c r="H461" s="1">
        <v>1</v>
      </c>
      <c r="I461" s="1">
        <v>0.98299999999999998</v>
      </c>
      <c r="J461" s="1">
        <v>2</v>
      </c>
    </row>
    <row r="462" spans="1:10" x14ac:dyDescent="0.2">
      <c r="A462" s="1" t="s">
        <v>2708</v>
      </c>
      <c r="B462" s="1" t="s">
        <v>2707</v>
      </c>
      <c r="C462" s="1" t="s">
        <v>2706</v>
      </c>
      <c r="D462" s="2" t="str">
        <f t="shared" si="7"/>
        <v>http://zfin.org/ZDB-GENE-030828-5</v>
      </c>
      <c r="E462" s="1" t="s">
        <v>7726</v>
      </c>
      <c r="F462" s="3">
        <v>6.1673829877904597E-15</v>
      </c>
      <c r="G462" s="1">
        <v>-1.0582805959820201</v>
      </c>
      <c r="H462" s="1">
        <v>0.105</v>
      </c>
      <c r="I462" s="1">
        <v>0.55000000000000004</v>
      </c>
      <c r="J462" s="1">
        <v>2</v>
      </c>
    </row>
    <row r="463" spans="1:10" x14ac:dyDescent="0.2">
      <c r="A463" s="1" t="s">
        <v>7725</v>
      </c>
      <c r="B463" s="1" t="s">
        <v>7724</v>
      </c>
      <c r="C463" s="1" t="s">
        <v>7723</v>
      </c>
      <c r="D463" s="2" t="str">
        <f t="shared" si="7"/>
        <v>http://zfin.org/ZDB-GENE-060322-5</v>
      </c>
      <c r="E463" s="1" t="s">
        <v>7722</v>
      </c>
      <c r="F463" s="3">
        <v>8.5218409970426903E-14</v>
      </c>
      <c r="G463" s="1">
        <v>-1.0534303171150201</v>
      </c>
      <c r="H463" s="1">
        <v>0.22800000000000001</v>
      </c>
      <c r="I463" s="1">
        <v>0.61699999999999999</v>
      </c>
      <c r="J463" s="1">
        <v>2</v>
      </c>
    </row>
    <row r="464" spans="1:10" x14ac:dyDescent="0.2">
      <c r="A464" s="1" t="s">
        <v>289</v>
      </c>
      <c r="B464" s="1" t="s">
        <v>288</v>
      </c>
      <c r="C464" s="1" t="s">
        <v>290</v>
      </c>
      <c r="D464" s="2" t="str">
        <f t="shared" si="7"/>
        <v>http://zfin.org/ZDB-GENE-030131-8708</v>
      </c>
      <c r="E464" s="1" t="s">
        <v>7721</v>
      </c>
      <c r="F464" s="3">
        <v>6.1495452454912999E-25</v>
      </c>
      <c r="G464" s="1">
        <v>-1.0485759450882499</v>
      </c>
      <c r="H464" s="1">
        <v>1</v>
      </c>
      <c r="I464" s="1">
        <v>1</v>
      </c>
      <c r="J464" s="1">
        <v>2</v>
      </c>
    </row>
    <row r="465" spans="1:10" x14ac:dyDescent="0.2">
      <c r="A465" s="1" t="s">
        <v>3082</v>
      </c>
      <c r="B465" s="1" t="s">
        <v>3081</v>
      </c>
      <c r="C465" s="1" t="s">
        <v>3080</v>
      </c>
      <c r="D465" s="2" t="str">
        <f t="shared" si="7"/>
        <v>http://zfin.org/ZDB-GENE-040625-93</v>
      </c>
      <c r="E465" s="1" t="s">
        <v>7720</v>
      </c>
      <c r="F465" s="3">
        <v>1.85223361902108E-20</v>
      </c>
      <c r="G465" s="1">
        <v>-1.04778338958878</v>
      </c>
      <c r="H465" s="1">
        <v>0.64900000000000002</v>
      </c>
      <c r="I465" s="1">
        <v>0.83299999999999996</v>
      </c>
      <c r="J465" s="1">
        <v>2</v>
      </c>
    </row>
    <row r="466" spans="1:10" x14ac:dyDescent="0.2">
      <c r="A466" s="1" t="s">
        <v>2304</v>
      </c>
      <c r="B466" s="1" t="s">
        <v>2303</v>
      </c>
      <c r="C466" s="1" t="s">
        <v>2302</v>
      </c>
      <c r="D466" s="2" t="str">
        <f t="shared" si="7"/>
        <v>http://zfin.org/ZDB-GENE-031006-14</v>
      </c>
      <c r="E466" s="1" t="s">
        <v>7719</v>
      </c>
      <c r="F466" s="3">
        <v>1.83431102938133E-11</v>
      </c>
      <c r="G466" s="1">
        <v>-1.0449635767757901</v>
      </c>
      <c r="H466" s="1">
        <v>0.16700000000000001</v>
      </c>
      <c r="I466" s="1">
        <v>0.38300000000000001</v>
      </c>
      <c r="J466" s="1">
        <v>2</v>
      </c>
    </row>
    <row r="467" spans="1:10" x14ac:dyDescent="0.2">
      <c r="A467" s="1" t="s">
        <v>7718</v>
      </c>
      <c r="B467" s="1" t="s">
        <v>7717</v>
      </c>
      <c r="C467" s="1" t="s">
        <v>7716</v>
      </c>
      <c r="D467" s="2" t="str">
        <f t="shared" si="7"/>
        <v>http://zfin.org/ZDB-GENE-030131-1600</v>
      </c>
      <c r="E467" s="1" t="s">
        <v>7715</v>
      </c>
      <c r="F467" s="3">
        <v>1.7228972011030501E-17</v>
      </c>
      <c r="G467" s="1">
        <v>-1.0368818932719199</v>
      </c>
      <c r="H467" s="1">
        <v>0.38600000000000001</v>
      </c>
      <c r="I467" s="1">
        <v>0.68300000000000005</v>
      </c>
      <c r="J467" s="1">
        <v>2</v>
      </c>
    </row>
    <row r="468" spans="1:10" x14ac:dyDescent="0.2">
      <c r="A468" s="1" t="s">
        <v>1045</v>
      </c>
      <c r="B468" s="1" t="s">
        <v>1044</v>
      </c>
      <c r="C468" s="1" t="s">
        <v>1043</v>
      </c>
      <c r="D468" s="2" t="str">
        <f t="shared" si="7"/>
        <v>http://zfin.org/ZDB-GENE-040426-811</v>
      </c>
      <c r="E468" s="1" t="s">
        <v>7714</v>
      </c>
      <c r="F468" s="3">
        <v>1.21835578955008E-27</v>
      </c>
      <c r="G468" s="1">
        <v>-1.03664206921861</v>
      </c>
      <c r="H468" s="1">
        <v>0.97399999999999998</v>
      </c>
      <c r="I468" s="1">
        <v>1</v>
      </c>
      <c r="J468" s="1">
        <v>2</v>
      </c>
    </row>
    <row r="469" spans="1:10" x14ac:dyDescent="0.2">
      <c r="A469" s="1" t="s">
        <v>2104</v>
      </c>
      <c r="B469" s="1" t="s">
        <v>2103</v>
      </c>
      <c r="C469" s="1" t="s">
        <v>2102</v>
      </c>
      <c r="D469" s="2" t="str">
        <f t="shared" si="7"/>
        <v>http://zfin.org/ZDB-GENE-051120-126</v>
      </c>
      <c r="E469" s="1" t="s">
        <v>7713</v>
      </c>
      <c r="F469" s="3">
        <v>7.13218124492547E-26</v>
      </c>
      <c r="G469" s="1">
        <v>-1.0312936492209199</v>
      </c>
      <c r="H469" s="1">
        <v>0.98199999999999998</v>
      </c>
      <c r="I469" s="1">
        <v>0.93300000000000005</v>
      </c>
      <c r="J469" s="1">
        <v>2</v>
      </c>
    </row>
    <row r="470" spans="1:10" x14ac:dyDescent="0.2">
      <c r="A470" s="1" t="s">
        <v>1449</v>
      </c>
      <c r="B470" s="1" t="s">
        <v>1448</v>
      </c>
      <c r="C470" s="1" t="s">
        <v>1447</v>
      </c>
      <c r="D470" s="2" t="str">
        <f t="shared" si="7"/>
        <v>http://zfin.org/ZDB-GENE-070719-5</v>
      </c>
      <c r="E470" s="1" t="s">
        <v>7712</v>
      </c>
      <c r="F470" s="3">
        <v>1.27803079983227E-19</v>
      </c>
      <c r="G470" s="1">
        <v>-1.02740095194978</v>
      </c>
      <c r="H470" s="1">
        <v>0.20200000000000001</v>
      </c>
      <c r="I470" s="1">
        <v>0.58299999999999996</v>
      </c>
      <c r="J470" s="1">
        <v>2</v>
      </c>
    </row>
    <row r="471" spans="1:10" x14ac:dyDescent="0.2">
      <c r="A471" s="1" t="s">
        <v>555</v>
      </c>
      <c r="B471" s="1" t="s">
        <v>554</v>
      </c>
      <c r="C471" s="1" t="s">
        <v>553</v>
      </c>
      <c r="D471" s="2" t="str">
        <f t="shared" si="7"/>
        <v>http://zfin.org/ZDB-GENE-040628-1</v>
      </c>
      <c r="E471" s="1" t="s">
        <v>7711</v>
      </c>
      <c r="F471" s="3">
        <v>1.0391555689462899E-23</v>
      </c>
      <c r="G471" s="1">
        <v>-1.02484474048317</v>
      </c>
      <c r="H471" s="1">
        <v>1</v>
      </c>
      <c r="I471" s="1">
        <v>1</v>
      </c>
      <c r="J471" s="1">
        <v>2</v>
      </c>
    </row>
    <row r="472" spans="1:10" x14ac:dyDescent="0.2">
      <c r="A472" s="1" t="s">
        <v>1054</v>
      </c>
      <c r="B472" s="1" t="s">
        <v>1053</v>
      </c>
      <c r="C472" s="1" t="s">
        <v>1052</v>
      </c>
      <c r="D472" s="2" t="str">
        <f t="shared" si="7"/>
        <v>http://zfin.org/ZDB-GENE-030131-8646</v>
      </c>
      <c r="E472" s="1" t="s">
        <v>7710</v>
      </c>
      <c r="F472" s="3">
        <v>2.05763292698463E-29</v>
      </c>
      <c r="G472" s="1">
        <v>-1.0151221934663099</v>
      </c>
      <c r="H472" s="1">
        <v>0.97399999999999998</v>
      </c>
      <c r="I472" s="1">
        <v>1</v>
      </c>
      <c r="J472" s="1">
        <v>2</v>
      </c>
    </row>
    <row r="473" spans="1:10" x14ac:dyDescent="0.2">
      <c r="A473" s="1" t="s">
        <v>1018</v>
      </c>
      <c r="B473" s="1" t="s">
        <v>1017</v>
      </c>
      <c r="C473" s="1" t="s">
        <v>1016</v>
      </c>
      <c r="D473" s="2" t="str">
        <f t="shared" si="7"/>
        <v>http://zfin.org/ZDB-GENE-030131-4343</v>
      </c>
      <c r="E473" s="1" t="s">
        <v>7709</v>
      </c>
      <c r="F473" s="3">
        <v>1.69286870164765E-28</v>
      </c>
      <c r="G473" s="1">
        <v>-1.0102483470016399</v>
      </c>
      <c r="H473" s="1">
        <v>0.93899999999999995</v>
      </c>
      <c r="I473" s="1">
        <v>0.96699999999999997</v>
      </c>
      <c r="J473" s="1">
        <v>2</v>
      </c>
    </row>
    <row r="474" spans="1:10" x14ac:dyDescent="0.2">
      <c r="A474" s="1" t="s">
        <v>846</v>
      </c>
      <c r="B474" s="1" t="s">
        <v>845</v>
      </c>
      <c r="C474" s="1" t="s">
        <v>844</v>
      </c>
      <c r="D474" s="2" t="str">
        <f t="shared" si="7"/>
        <v>http://zfin.org/ZDB-GENE-030131-4862</v>
      </c>
      <c r="E474" s="1" t="s">
        <v>7708</v>
      </c>
      <c r="F474" s="3">
        <v>7.4101914645922999E-18</v>
      </c>
      <c r="G474" s="1">
        <v>-1.0086820845104401</v>
      </c>
      <c r="H474" s="1">
        <v>0.57899999999999996</v>
      </c>
      <c r="I474" s="1">
        <v>0.85</v>
      </c>
      <c r="J474" s="1">
        <v>2</v>
      </c>
    </row>
    <row r="475" spans="1:10" x14ac:dyDescent="0.2">
      <c r="A475" s="1" t="s">
        <v>985</v>
      </c>
      <c r="B475" s="1" t="s">
        <v>984</v>
      </c>
      <c r="C475" s="1" t="s">
        <v>983</v>
      </c>
      <c r="D475" s="2" t="str">
        <f t="shared" si="7"/>
        <v>http://zfin.org/ZDB-GENE-030131-8512</v>
      </c>
      <c r="E475" s="1" t="s">
        <v>7707</v>
      </c>
      <c r="F475" s="3">
        <v>1.10753134681651E-24</v>
      </c>
      <c r="G475" s="1">
        <v>-1.0079442879488201</v>
      </c>
      <c r="H475" s="1">
        <v>0.93899999999999995</v>
      </c>
      <c r="I475" s="1">
        <v>0.96699999999999997</v>
      </c>
      <c r="J475" s="1">
        <v>2</v>
      </c>
    </row>
    <row r="476" spans="1:10" x14ac:dyDescent="0.2">
      <c r="A476" s="1" t="s">
        <v>900</v>
      </c>
      <c r="B476" s="1" t="s">
        <v>899</v>
      </c>
      <c r="C476" s="1" t="s">
        <v>898</v>
      </c>
      <c r="D476" s="2" t="str">
        <f t="shared" si="7"/>
        <v>http://zfin.org/ZDB-GENE-080220-50</v>
      </c>
      <c r="E476" s="1" t="s">
        <v>7706</v>
      </c>
      <c r="F476" s="3">
        <v>1.14355586304675E-21</v>
      </c>
      <c r="G476" s="1">
        <v>-1.00631758634667</v>
      </c>
      <c r="H476" s="1">
        <v>0.88600000000000001</v>
      </c>
      <c r="I476" s="1">
        <v>0.95</v>
      </c>
      <c r="J476" s="1">
        <v>2</v>
      </c>
    </row>
    <row r="477" spans="1:10" x14ac:dyDescent="0.2">
      <c r="A477" s="1" t="s">
        <v>7705</v>
      </c>
      <c r="B477" s="1" t="s">
        <v>7704</v>
      </c>
      <c r="C477" s="1" t="s">
        <v>7703</v>
      </c>
      <c r="D477" s="2" t="str">
        <f t="shared" si="7"/>
        <v>http://zfin.org/ZDB-GENE-990415-54</v>
      </c>
      <c r="E477" s="1" t="s">
        <v>7702</v>
      </c>
      <c r="F477" s="3">
        <v>1.9142213197750699E-7</v>
      </c>
      <c r="G477" s="1">
        <v>-1.0050495018357299</v>
      </c>
      <c r="H477" s="1">
        <v>0.16700000000000001</v>
      </c>
      <c r="I477" s="1">
        <v>0.3</v>
      </c>
      <c r="J477" s="1">
        <v>2</v>
      </c>
    </row>
    <row r="478" spans="1:10" x14ac:dyDescent="0.2">
      <c r="A478" s="1" t="s">
        <v>163</v>
      </c>
      <c r="B478" s="1" t="s">
        <v>162</v>
      </c>
      <c r="C478" s="1" t="s">
        <v>164</v>
      </c>
      <c r="D478" s="2" t="str">
        <f t="shared" si="7"/>
        <v>http://zfin.org/ZDB-GENE-050307-5</v>
      </c>
      <c r="E478" s="1" t="s">
        <v>7701</v>
      </c>
      <c r="F478" s="3">
        <v>1.7260311630188499E-14</v>
      </c>
      <c r="G478" s="1">
        <v>-1.0024116178768001</v>
      </c>
      <c r="H478" s="1">
        <v>0.64</v>
      </c>
      <c r="I478" s="1">
        <v>0.75</v>
      </c>
      <c r="J478" s="1">
        <v>2</v>
      </c>
    </row>
    <row r="479" spans="1:10" x14ac:dyDescent="0.2">
      <c r="A479" s="1" t="s">
        <v>946</v>
      </c>
      <c r="B479" s="1" t="s">
        <v>945</v>
      </c>
      <c r="C479" s="1" t="s">
        <v>944</v>
      </c>
      <c r="D479" s="2" t="str">
        <f t="shared" si="7"/>
        <v>http://zfin.org/ZDB-GENE-030131-8631</v>
      </c>
      <c r="E479" s="1" t="s">
        <v>7700</v>
      </c>
      <c r="F479" s="3">
        <v>1.1041595534020199E-21</v>
      </c>
      <c r="G479" s="1">
        <v>-1.00026569739013</v>
      </c>
      <c r="H479" s="1">
        <v>0.93899999999999995</v>
      </c>
      <c r="I479" s="1">
        <v>0.96699999999999997</v>
      </c>
      <c r="J479" s="1">
        <v>2</v>
      </c>
    </row>
    <row r="480" spans="1:10" x14ac:dyDescent="0.2">
      <c r="A480" s="1" t="s">
        <v>259</v>
      </c>
      <c r="B480" s="1" t="s">
        <v>258</v>
      </c>
      <c r="C480" s="1" t="s">
        <v>260</v>
      </c>
      <c r="D480" s="2" t="str">
        <f t="shared" si="7"/>
        <v>http://zfin.org/ZDB-GENE-040622-2</v>
      </c>
      <c r="E480" s="1" t="s">
        <v>7699</v>
      </c>
      <c r="F480" s="3">
        <v>8.5946653780667393E-31</v>
      </c>
      <c r="G480" s="1">
        <v>-0.99549669378374095</v>
      </c>
      <c r="H480" s="1">
        <v>0.99099999999999999</v>
      </c>
      <c r="I480" s="1">
        <v>1</v>
      </c>
      <c r="J480" s="1">
        <v>2</v>
      </c>
    </row>
    <row r="481" spans="1:10" x14ac:dyDescent="0.2">
      <c r="A481" s="1" t="s">
        <v>256</v>
      </c>
      <c r="B481" s="1" t="s">
        <v>255</v>
      </c>
      <c r="C481" s="1" t="s">
        <v>257</v>
      </c>
      <c r="D481" s="2" t="str">
        <f t="shared" si="7"/>
        <v>http://zfin.org/ZDB-GENE-030131-2022</v>
      </c>
      <c r="E481" s="1" t="s">
        <v>7698</v>
      </c>
      <c r="F481" s="3">
        <v>1.03849728820494E-32</v>
      </c>
      <c r="G481" s="1">
        <v>-0.99549468706632005</v>
      </c>
      <c r="H481" s="1">
        <v>1</v>
      </c>
      <c r="I481" s="1">
        <v>1</v>
      </c>
      <c r="J481" s="1">
        <v>2</v>
      </c>
    </row>
    <row r="482" spans="1:10" x14ac:dyDescent="0.2">
      <c r="A482" s="1" t="s">
        <v>3339</v>
      </c>
      <c r="B482" s="1" t="s">
        <v>3338</v>
      </c>
      <c r="C482" s="1" t="s">
        <v>3337</v>
      </c>
      <c r="D482" s="2" t="str">
        <f t="shared" si="7"/>
        <v>http://zfin.org/ZDB-GENE-020419-14</v>
      </c>
      <c r="E482" s="1" t="s">
        <v>7697</v>
      </c>
      <c r="F482" s="3">
        <v>9.6048179558803906E-16</v>
      </c>
      <c r="G482" s="1">
        <v>-0.99016896993996495</v>
      </c>
      <c r="H482" s="1">
        <v>0.439</v>
      </c>
      <c r="I482" s="1">
        <v>0.75</v>
      </c>
      <c r="J482" s="1">
        <v>2</v>
      </c>
    </row>
    <row r="483" spans="1:10" x14ac:dyDescent="0.2">
      <c r="A483" s="1" t="s">
        <v>7696</v>
      </c>
      <c r="B483" s="1" t="s">
        <v>7695</v>
      </c>
      <c r="C483" s="1" t="s">
        <v>7694</v>
      </c>
      <c r="D483" s="2" t="str">
        <f t="shared" si="7"/>
        <v>http://zfin.org/ZDB-GENE-030825-2</v>
      </c>
      <c r="E483" s="1" t="s">
        <v>7693</v>
      </c>
      <c r="F483" s="3">
        <v>3.9710769945950602E-18</v>
      </c>
      <c r="G483" s="1">
        <v>-0.98812865862355403</v>
      </c>
      <c r="H483" s="1">
        <v>0.40400000000000003</v>
      </c>
      <c r="I483" s="1">
        <v>0.7</v>
      </c>
      <c r="J483" s="1">
        <v>2</v>
      </c>
    </row>
    <row r="484" spans="1:10" x14ac:dyDescent="0.2">
      <c r="A484" s="1" t="s">
        <v>964</v>
      </c>
      <c r="B484" s="1" t="s">
        <v>963</v>
      </c>
      <c r="C484" s="1" t="s">
        <v>962</v>
      </c>
      <c r="D484" s="2" t="str">
        <f t="shared" si="7"/>
        <v>http://zfin.org/ZDB-GENE-030131-9184</v>
      </c>
      <c r="E484" s="1" t="s">
        <v>7692</v>
      </c>
      <c r="F484" s="3">
        <v>4.3030369316570602E-26</v>
      </c>
      <c r="G484" s="1">
        <v>-0.98606230947880802</v>
      </c>
      <c r="H484" s="1">
        <v>0.96499999999999997</v>
      </c>
      <c r="I484" s="1">
        <v>0.96699999999999997</v>
      </c>
      <c r="J484" s="1">
        <v>2</v>
      </c>
    </row>
    <row r="485" spans="1:10" x14ac:dyDescent="0.2">
      <c r="A485" s="1" t="s">
        <v>7691</v>
      </c>
      <c r="B485" s="1" t="s">
        <v>2096</v>
      </c>
      <c r="C485" s="1" t="s">
        <v>2095</v>
      </c>
      <c r="D485" s="2" t="str">
        <f t="shared" si="7"/>
        <v>http://zfin.org/ZDB-GENE-030131-8290</v>
      </c>
      <c r="E485" s="1" t="s">
        <v>7690</v>
      </c>
      <c r="F485" s="3">
        <v>1.72481136757788E-9</v>
      </c>
      <c r="G485" s="1">
        <v>-0.98558342538428001</v>
      </c>
      <c r="H485" s="1">
        <v>4.3999999999999997E-2</v>
      </c>
      <c r="I485" s="1">
        <v>0.33300000000000002</v>
      </c>
      <c r="J485" s="1">
        <v>2</v>
      </c>
    </row>
    <row r="486" spans="1:10" x14ac:dyDescent="0.2">
      <c r="A486" s="1" t="s">
        <v>217</v>
      </c>
      <c r="B486" s="1" t="s">
        <v>216</v>
      </c>
      <c r="C486" s="1" t="s">
        <v>218</v>
      </c>
      <c r="D486" s="2" t="str">
        <f t="shared" si="7"/>
        <v>http://zfin.org/ZDB-GENE-040625-147</v>
      </c>
      <c r="E486" s="1" t="s">
        <v>7689</v>
      </c>
      <c r="F486" s="3">
        <v>8.84593208997038E-32</v>
      </c>
      <c r="G486" s="1">
        <v>-0.98495711530286201</v>
      </c>
      <c r="H486" s="1">
        <v>1</v>
      </c>
      <c r="I486" s="1">
        <v>1</v>
      </c>
      <c r="J486" s="1">
        <v>2</v>
      </c>
    </row>
    <row r="487" spans="1:10" x14ac:dyDescent="0.2">
      <c r="A487" s="1" t="s">
        <v>3067</v>
      </c>
      <c r="B487" s="1" t="s">
        <v>3066</v>
      </c>
      <c r="C487" s="1" t="s">
        <v>3065</v>
      </c>
      <c r="D487" s="2" t="str">
        <f t="shared" si="7"/>
        <v>http://zfin.org/ZDB-GENE-040426-1819</v>
      </c>
      <c r="E487" s="1" t="s">
        <v>7688</v>
      </c>
      <c r="F487" s="3">
        <v>3.5387436989544903E-18</v>
      </c>
      <c r="G487" s="1">
        <v>-0.98486008804021596</v>
      </c>
      <c r="H487" s="1">
        <v>0.51800000000000002</v>
      </c>
      <c r="I487" s="1">
        <v>0.75</v>
      </c>
      <c r="J487" s="1">
        <v>2</v>
      </c>
    </row>
    <row r="488" spans="1:10" x14ac:dyDescent="0.2">
      <c r="A488" s="1" t="s">
        <v>982</v>
      </c>
      <c r="B488" s="1" t="s">
        <v>981</v>
      </c>
      <c r="C488" s="1" t="s">
        <v>980</v>
      </c>
      <c r="D488" s="2" t="str">
        <f t="shared" si="7"/>
        <v>http://zfin.org/ZDB-GENE-040927-19</v>
      </c>
      <c r="E488" s="1" t="s">
        <v>7687</v>
      </c>
      <c r="F488" s="3">
        <v>8.9617452786482394E-25</v>
      </c>
      <c r="G488" s="1">
        <v>-0.97928533617809699</v>
      </c>
      <c r="H488" s="1">
        <v>0.95599999999999996</v>
      </c>
      <c r="I488" s="1">
        <v>0.98299999999999998</v>
      </c>
      <c r="J488" s="1">
        <v>2</v>
      </c>
    </row>
    <row r="489" spans="1:10" x14ac:dyDescent="0.2">
      <c r="A489" s="1" t="s">
        <v>7686</v>
      </c>
      <c r="B489" s="1" t="s">
        <v>7685</v>
      </c>
      <c r="C489" s="1" t="s">
        <v>7684</v>
      </c>
      <c r="D489" s="2" t="str">
        <f t="shared" si="7"/>
        <v>http://zfin.org/ZDB-GENE-030131-6154</v>
      </c>
      <c r="E489" s="1" t="s">
        <v>7683</v>
      </c>
      <c r="F489" s="3">
        <v>2.2157996032612999E-16</v>
      </c>
      <c r="G489" s="1">
        <v>-0.97885580145248996</v>
      </c>
      <c r="H489" s="1">
        <v>0.81599999999999995</v>
      </c>
      <c r="I489" s="1">
        <v>0.91700000000000004</v>
      </c>
      <c r="J489" s="1">
        <v>2</v>
      </c>
    </row>
    <row r="490" spans="1:10" x14ac:dyDescent="0.2">
      <c r="A490" s="1" t="s">
        <v>3898</v>
      </c>
      <c r="B490" s="1" t="s">
        <v>3897</v>
      </c>
      <c r="C490" s="1" t="s">
        <v>3896</v>
      </c>
      <c r="D490" s="2" t="str">
        <f t="shared" si="7"/>
        <v>http://zfin.org/ZDB-GENE-040426-2682</v>
      </c>
      <c r="E490" s="1" t="s">
        <v>7682</v>
      </c>
      <c r="F490" s="3">
        <v>4.4768245240934604E-16</v>
      </c>
      <c r="G490" s="1">
        <v>-0.97830507730902505</v>
      </c>
      <c r="H490" s="1">
        <v>0.56999999999999995</v>
      </c>
      <c r="I490" s="1">
        <v>0.8</v>
      </c>
      <c r="J490" s="1">
        <v>2</v>
      </c>
    </row>
    <row r="491" spans="1:10" x14ac:dyDescent="0.2">
      <c r="A491" s="1" t="s">
        <v>888</v>
      </c>
      <c r="B491" s="1" t="s">
        <v>887</v>
      </c>
      <c r="C491" s="1" t="s">
        <v>886</v>
      </c>
      <c r="D491" s="2" t="str">
        <f t="shared" si="7"/>
        <v>http://zfin.org/ZDB-GENE-051023-7</v>
      </c>
      <c r="E491" s="1" t="s">
        <v>7681</v>
      </c>
      <c r="F491" s="3">
        <v>1.93980260509636E-16</v>
      </c>
      <c r="G491" s="1">
        <v>-0.97802149145597395</v>
      </c>
      <c r="H491" s="1">
        <v>0.746</v>
      </c>
      <c r="I491" s="1">
        <v>0.93300000000000005</v>
      </c>
      <c r="J491" s="1">
        <v>2</v>
      </c>
    </row>
    <row r="492" spans="1:10" x14ac:dyDescent="0.2">
      <c r="A492" s="1" t="s">
        <v>910</v>
      </c>
      <c r="B492" s="1" t="s">
        <v>909</v>
      </c>
      <c r="C492" s="1" t="s">
        <v>908</v>
      </c>
      <c r="D492" s="2" t="str">
        <f t="shared" si="7"/>
        <v>http://zfin.org/ZDB-GENE-040426-1481</v>
      </c>
      <c r="E492" s="1" t="s">
        <v>7680</v>
      </c>
      <c r="F492" s="3">
        <v>5.8399468805742501E-19</v>
      </c>
      <c r="G492" s="1">
        <v>-0.97673724189728905</v>
      </c>
      <c r="H492" s="1">
        <v>0.93899999999999995</v>
      </c>
      <c r="I492" s="1">
        <v>0.96699999999999997</v>
      </c>
      <c r="J492" s="1">
        <v>2</v>
      </c>
    </row>
    <row r="493" spans="1:10" x14ac:dyDescent="0.2">
      <c r="A493" s="1" t="s">
        <v>271</v>
      </c>
      <c r="B493" s="1" t="s">
        <v>270</v>
      </c>
      <c r="C493" s="1" t="s">
        <v>272</v>
      </c>
      <c r="D493" s="2" t="str">
        <f t="shared" si="7"/>
        <v>http://zfin.org/ZDB-GENE-040426-2117</v>
      </c>
      <c r="E493" s="1" t="s">
        <v>7679</v>
      </c>
      <c r="F493" s="3">
        <v>2.6066736902099401E-30</v>
      </c>
      <c r="G493" s="1">
        <v>-0.97581395252118996</v>
      </c>
      <c r="H493" s="1">
        <v>0.98199999999999998</v>
      </c>
      <c r="I493" s="1">
        <v>1</v>
      </c>
      <c r="J493" s="1">
        <v>2</v>
      </c>
    </row>
    <row r="494" spans="1:10" x14ac:dyDescent="0.2">
      <c r="A494" s="1" t="s">
        <v>208</v>
      </c>
      <c r="B494" s="1" t="s">
        <v>207</v>
      </c>
      <c r="C494" s="1" t="s">
        <v>209</v>
      </c>
      <c r="D494" s="2" t="str">
        <f t="shared" si="7"/>
        <v>http://zfin.org/ZDB-GENE-040426-1033</v>
      </c>
      <c r="E494" s="1" t="s">
        <v>7678</v>
      </c>
      <c r="F494" s="3">
        <v>9.4726811075693294E-30</v>
      </c>
      <c r="G494" s="1">
        <v>-0.972873875772577</v>
      </c>
      <c r="H494" s="1">
        <v>0.99099999999999999</v>
      </c>
      <c r="I494" s="1">
        <v>0.96699999999999997</v>
      </c>
      <c r="J494" s="1">
        <v>2</v>
      </c>
    </row>
    <row r="495" spans="1:10" x14ac:dyDescent="0.2">
      <c r="A495" s="1" t="s">
        <v>295</v>
      </c>
      <c r="B495" s="1" t="s">
        <v>294</v>
      </c>
      <c r="C495" s="1" t="s">
        <v>296</v>
      </c>
      <c r="D495" s="2" t="str">
        <f t="shared" si="7"/>
        <v>http://zfin.org/ZDB-GENE-030131-5297</v>
      </c>
      <c r="E495" s="1" t="s">
        <v>7677</v>
      </c>
      <c r="F495" s="3">
        <v>4.7543685596107302E-23</v>
      </c>
      <c r="G495" s="1">
        <v>-0.96919696382118203</v>
      </c>
      <c r="H495" s="1">
        <v>0.95599999999999996</v>
      </c>
      <c r="I495" s="1">
        <v>0.95</v>
      </c>
      <c r="J495" s="1">
        <v>2</v>
      </c>
    </row>
    <row r="496" spans="1:10" x14ac:dyDescent="0.2">
      <c r="A496" s="1" t="s">
        <v>913</v>
      </c>
      <c r="B496" s="1" t="s">
        <v>912</v>
      </c>
      <c r="C496" s="1" t="s">
        <v>911</v>
      </c>
      <c r="D496" s="2" t="str">
        <f t="shared" si="7"/>
        <v>http://zfin.org/ZDB-GENE-030131-8606</v>
      </c>
      <c r="E496" s="1" t="s">
        <v>7676</v>
      </c>
      <c r="F496" s="3">
        <v>1.28079071031443E-20</v>
      </c>
      <c r="G496" s="1">
        <v>-0.96183504246836105</v>
      </c>
      <c r="H496" s="1">
        <v>0.90400000000000003</v>
      </c>
      <c r="I496" s="1">
        <v>0.95</v>
      </c>
      <c r="J496" s="1">
        <v>2</v>
      </c>
    </row>
    <row r="497" spans="1:10" x14ac:dyDescent="0.2">
      <c r="A497" s="1" t="s">
        <v>1009</v>
      </c>
      <c r="B497" s="1" t="s">
        <v>1008</v>
      </c>
      <c r="C497" s="1" t="s">
        <v>1007</v>
      </c>
      <c r="D497" s="2" t="str">
        <f t="shared" si="7"/>
        <v>http://zfin.org/ZDB-GENE-020419-12</v>
      </c>
      <c r="E497" s="1" t="s">
        <v>7675</v>
      </c>
      <c r="F497" s="3">
        <v>2.8884755288222699E-23</v>
      </c>
      <c r="G497" s="1">
        <v>-0.95914107752564304</v>
      </c>
      <c r="H497" s="1">
        <v>0.94699999999999995</v>
      </c>
      <c r="I497" s="1">
        <v>0.98299999999999998</v>
      </c>
      <c r="J497" s="1">
        <v>2</v>
      </c>
    </row>
    <row r="498" spans="1:10" x14ac:dyDescent="0.2">
      <c r="A498" s="1" t="s">
        <v>7674</v>
      </c>
      <c r="B498" s="1" t="s">
        <v>7673</v>
      </c>
      <c r="C498" s="1" t="s">
        <v>7672</v>
      </c>
      <c r="D498" s="2" t="str">
        <f t="shared" si="7"/>
        <v>http://zfin.org/ZDB-GENE-040426-1200</v>
      </c>
      <c r="E498" s="1" t="s">
        <v>7671</v>
      </c>
      <c r="F498" s="3">
        <v>1.8199047221229502E-12</v>
      </c>
      <c r="G498" s="1">
        <v>-0.94989465151053798</v>
      </c>
      <c r="H498" s="1">
        <v>0.51800000000000002</v>
      </c>
      <c r="I498" s="1">
        <v>0.73299999999999998</v>
      </c>
      <c r="J498" s="1">
        <v>2</v>
      </c>
    </row>
    <row r="499" spans="1:10" x14ac:dyDescent="0.2">
      <c r="A499" s="1" t="s">
        <v>7670</v>
      </c>
      <c r="B499" s="1" t="s">
        <v>7669</v>
      </c>
      <c r="C499" s="1" t="s">
        <v>7668</v>
      </c>
      <c r="D499" s="2" t="str">
        <f t="shared" si="7"/>
        <v>http://zfin.org/ZDB-GENE-070928-29</v>
      </c>
      <c r="E499" s="1" t="s">
        <v>7667</v>
      </c>
      <c r="F499" s="3">
        <v>4.2662426606959902E-14</v>
      </c>
      <c r="G499" s="1">
        <v>-0.94726116969218999</v>
      </c>
      <c r="H499" s="1">
        <v>0.23699999999999999</v>
      </c>
      <c r="I499" s="1">
        <v>0.56699999999999995</v>
      </c>
      <c r="J499" s="1">
        <v>2</v>
      </c>
    </row>
    <row r="500" spans="1:10" x14ac:dyDescent="0.2">
      <c r="A500" s="1" t="s">
        <v>849</v>
      </c>
      <c r="B500" s="1" t="s">
        <v>848</v>
      </c>
      <c r="C500" s="1" t="s">
        <v>847</v>
      </c>
      <c r="D500" s="2" t="str">
        <f t="shared" si="7"/>
        <v>http://zfin.org/ZDB-GENE-040426-1112</v>
      </c>
      <c r="E500" s="1" t="s">
        <v>7666</v>
      </c>
      <c r="F500" s="3">
        <v>4.1236426301479302E-17</v>
      </c>
      <c r="G500" s="1">
        <v>-0.94290572578286902</v>
      </c>
      <c r="H500" s="1">
        <v>0.71899999999999997</v>
      </c>
      <c r="I500" s="1">
        <v>0.9</v>
      </c>
      <c r="J500" s="1">
        <v>2</v>
      </c>
    </row>
    <row r="501" spans="1:10" x14ac:dyDescent="0.2">
      <c r="A501" s="1" t="s">
        <v>885</v>
      </c>
      <c r="B501" s="1" t="s">
        <v>884</v>
      </c>
      <c r="C501" s="1" t="s">
        <v>883</v>
      </c>
      <c r="D501" s="2" t="str">
        <f t="shared" si="7"/>
        <v>http://zfin.org/ZDB-GENE-030131-8494</v>
      </c>
      <c r="E501" s="1" t="s">
        <v>7665</v>
      </c>
      <c r="F501" s="3">
        <v>6.56841745970381E-22</v>
      </c>
      <c r="G501" s="1">
        <v>-0.942044228191938</v>
      </c>
      <c r="H501" s="1">
        <v>0.86799999999999999</v>
      </c>
      <c r="I501" s="1">
        <v>0.9</v>
      </c>
      <c r="J501" s="1">
        <v>2</v>
      </c>
    </row>
    <row r="502" spans="1:10" x14ac:dyDescent="0.2">
      <c r="A502" s="1" t="s">
        <v>2188</v>
      </c>
      <c r="B502" s="1" t="s">
        <v>7664</v>
      </c>
      <c r="D502" s="2" t="str">
        <f t="shared" si="7"/>
        <v>http://zfin.org/</v>
      </c>
      <c r="E502" s="1" t="s">
        <v>4625</v>
      </c>
      <c r="F502" s="3">
        <v>1.44360108316752E-13</v>
      </c>
      <c r="G502" s="1">
        <v>-0.94151248843733604</v>
      </c>
      <c r="H502" s="1">
        <v>0.64</v>
      </c>
      <c r="I502" s="1">
        <v>0.8</v>
      </c>
      <c r="J502" s="1">
        <v>2</v>
      </c>
    </row>
    <row r="503" spans="1:10" x14ac:dyDescent="0.2">
      <c r="A503" s="1" t="s">
        <v>1015</v>
      </c>
      <c r="B503" s="1" t="s">
        <v>1014</v>
      </c>
      <c r="C503" s="1" t="s">
        <v>1013</v>
      </c>
      <c r="D503" s="2" t="str">
        <f t="shared" si="7"/>
        <v>http://zfin.org/ZDB-GENE-020419-20</v>
      </c>
      <c r="E503" s="1" t="s">
        <v>7663</v>
      </c>
      <c r="F503" s="3">
        <v>8.13871219374744E-23</v>
      </c>
      <c r="G503" s="1">
        <v>-0.94012833974591703</v>
      </c>
      <c r="H503" s="1">
        <v>0.94699999999999995</v>
      </c>
      <c r="I503" s="1">
        <v>0.98299999999999998</v>
      </c>
      <c r="J503" s="1">
        <v>2</v>
      </c>
    </row>
    <row r="504" spans="1:10" x14ac:dyDescent="0.2">
      <c r="A504" s="1" t="s">
        <v>7662</v>
      </c>
      <c r="B504" s="1" t="s">
        <v>7661</v>
      </c>
      <c r="C504" s="1" t="s">
        <v>7660</v>
      </c>
      <c r="D504" s="2" t="str">
        <f t="shared" si="7"/>
        <v>http://zfin.org/ZDB-GENE-030131-433</v>
      </c>
      <c r="E504" s="1" t="s">
        <v>7659</v>
      </c>
      <c r="F504" s="3">
        <v>5.87592943500294E-19</v>
      </c>
      <c r="G504" s="1">
        <v>-0.93530919049329797</v>
      </c>
      <c r="H504" s="1">
        <v>0.60499999999999998</v>
      </c>
      <c r="I504" s="1">
        <v>0.75</v>
      </c>
      <c r="J504" s="1">
        <v>2</v>
      </c>
    </row>
    <row r="505" spans="1:10" x14ac:dyDescent="0.2">
      <c r="A505" s="1" t="s">
        <v>7658</v>
      </c>
      <c r="B505" s="1" t="s">
        <v>7657</v>
      </c>
      <c r="C505" s="1" t="s">
        <v>7656</v>
      </c>
      <c r="D505" s="2" t="str">
        <f t="shared" si="7"/>
        <v>http://zfin.org/ZDB-GENE-031002-50</v>
      </c>
      <c r="E505" s="1" t="s">
        <v>7655</v>
      </c>
      <c r="F505" s="3">
        <v>4.5116364964371103E-14</v>
      </c>
      <c r="G505" s="1">
        <v>-0.93153884453162294</v>
      </c>
      <c r="H505" s="1">
        <v>0.105</v>
      </c>
      <c r="I505" s="1">
        <v>0.55000000000000004</v>
      </c>
      <c r="J505" s="1">
        <v>2</v>
      </c>
    </row>
    <row r="506" spans="1:10" x14ac:dyDescent="0.2">
      <c r="A506" s="1" t="s">
        <v>7654</v>
      </c>
      <c r="B506" s="1" t="s">
        <v>7653</v>
      </c>
      <c r="C506" s="1" t="s">
        <v>7652</v>
      </c>
      <c r="D506" s="2" t="str">
        <f t="shared" si="7"/>
        <v>http://zfin.org/ZDB-GENE-030131-5219</v>
      </c>
      <c r="E506" s="1" t="s">
        <v>7651</v>
      </c>
      <c r="F506" s="3">
        <v>7.8562564303923702E-16</v>
      </c>
      <c r="G506" s="1">
        <v>-0.93095622150217805</v>
      </c>
      <c r="H506" s="1">
        <v>0.42099999999999999</v>
      </c>
      <c r="I506" s="1">
        <v>0.75</v>
      </c>
      <c r="J506" s="1">
        <v>2</v>
      </c>
    </row>
    <row r="507" spans="1:10" x14ac:dyDescent="0.2">
      <c r="A507" s="1" t="s">
        <v>2669</v>
      </c>
      <c r="B507" s="1" t="s">
        <v>2668</v>
      </c>
      <c r="C507" s="1" t="s">
        <v>2667</v>
      </c>
      <c r="D507" s="2" t="str">
        <f t="shared" si="7"/>
        <v>http://zfin.org/ZDB-GENE-030131-693</v>
      </c>
      <c r="E507" s="1" t="s">
        <v>7650</v>
      </c>
      <c r="F507" s="3">
        <v>3.0817998697802403E-17</v>
      </c>
      <c r="G507" s="1">
        <v>-0.92767318116992104</v>
      </c>
      <c r="H507" s="1">
        <v>0.36799999999999999</v>
      </c>
      <c r="I507" s="1">
        <v>0.63300000000000001</v>
      </c>
      <c r="J507" s="1">
        <v>2</v>
      </c>
    </row>
    <row r="508" spans="1:10" x14ac:dyDescent="0.2">
      <c r="A508" s="1" t="s">
        <v>852</v>
      </c>
      <c r="B508" s="1" t="s">
        <v>851</v>
      </c>
      <c r="C508" s="1" t="s">
        <v>850</v>
      </c>
      <c r="D508" s="2" t="str">
        <f t="shared" si="7"/>
        <v>http://zfin.org/ZDB-GENE-060804-3</v>
      </c>
      <c r="E508" s="1" t="s">
        <v>7649</v>
      </c>
      <c r="F508" s="3">
        <v>4.8696254359495103E-15</v>
      </c>
      <c r="G508" s="1">
        <v>-0.92477774768871102</v>
      </c>
      <c r="H508" s="1">
        <v>0.54400000000000004</v>
      </c>
      <c r="I508" s="1">
        <v>0.86699999999999999</v>
      </c>
      <c r="J508" s="1">
        <v>2</v>
      </c>
    </row>
    <row r="509" spans="1:10" x14ac:dyDescent="0.2">
      <c r="A509" s="1" t="s">
        <v>7648</v>
      </c>
      <c r="B509" s="1" t="s">
        <v>7647</v>
      </c>
      <c r="C509" s="1" t="s">
        <v>7646</v>
      </c>
      <c r="D509" s="2" t="str">
        <f t="shared" si="7"/>
        <v>http://zfin.org/ZDB-GENE-020717-1</v>
      </c>
      <c r="E509" s="1" t="s">
        <v>7645</v>
      </c>
      <c r="F509" s="3">
        <v>3.6402867308387101E-13</v>
      </c>
      <c r="G509" s="1">
        <v>-0.92428698811541299</v>
      </c>
      <c r="H509" s="1">
        <v>0.36799999999999999</v>
      </c>
      <c r="I509" s="1">
        <v>0.76700000000000002</v>
      </c>
      <c r="J509" s="1">
        <v>2</v>
      </c>
    </row>
    <row r="510" spans="1:10" x14ac:dyDescent="0.2">
      <c r="A510" s="1" t="s">
        <v>7644</v>
      </c>
      <c r="B510" s="1" t="s">
        <v>7643</v>
      </c>
      <c r="C510" s="1" t="s">
        <v>7642</v>
      </c>
      <c r="D510" s="2" t="str">
        <f t="shared" si="7"/>
        <v>http://zfin.org/ZDB-GENE-070629-3</v>
      </c>
      <c r="E510" s="1" t="s">
        <v>7641</v>
      </c>
      <c r="F510" s="3">
        <v>1.02352052744271E-11</v>
      </c>
      <c r="G510" s="1">
        <v>-0.92183274448501795</v>
      </c>
      <c r="H510" s="1">
        <v>0.40400000000000003</v>
      </c>
      <c r="I510" s="1">
        <v>0.75</v>
      </c>
      <c r="J510" s="1">
        <v>2</v>
      </c>
    </row>
    <row r="511" spans="1:10" x14ac:dyDescent="0.2">
      <c r="A511" s="1" t="s">
        <v>949</v>
      </c>
      <c r="B511" s="1" t="s">
        <v>948</v>
      </c>
      <c r="C511" s="1" t="s">
        <v>947</v>
      </c>
      <c r="D511" s="2" t="str">
        <f t="shared" si="7"/>
        <v>http://zfin.org/ZDB-GENE-030131-10018</v>
      </c>
      <c r="E511" s="1" t="s">
        <v>7640</v>
      </c>
      <c r="F511" s="3">
        <v>1.27736123484899E-20</v>
      </c>
      <c r="G511" s="1">
        <v>-0.92164643924620104</v>
      </c>
      <c r="H511" s="1">
        <v>0.93899999999999995</v>
      </c>
      <c r="I511" s="1">
        <v>0.98299999999999998</v>
      </c>
      <c r="J511" s="1">
        <v>2</v>
      </c>
    </row>
    <row r="512" spans="1:10" x14ac:dyDescent="0.2">
      <c r="A512" s="1" t="s">
        <v>7639</v>
      </c>
      <c r="B512" s="1" t="s">
        <v>7638</v>
      </c>
      <c r="C512" s="1" t="s">
        <v>7637</v>
      </c>
      <c r="D512" s="2" t="str">
        <f t="shared" si="7"/>
        <v>http://zfin.org/ZDB-GENE-040801-15</v>
      </c>
      <c r="E512" s="1" t="s">
        <v>7636</v>
      </c>
      <c r="F512" s="3">
        <v>2.1258843382981901E-15</v>
      </c>
      <c r="G512" s="1">
        <v>-0.92150934255227701</v>
      </c>
      <c r="H512" s="1">
        <v>0.61399999999999999</v>
      </c>
      <c r="I512" s="1">
        <v>0.81699999999999995</v>
      </c>
      <c r="J512" s="1">
        <v>2</v>
      </c>
    </row>
    <row r="513" spans="1:10" x14ac:dyDescent="0.2">
      <c r="A513" s="1" t="s">
        <v>1462</v>
      </c>
      <c r="B513" s="1" t="s">
        <v>1461</v>
      </c>
      <c r="C513" s="1" t="s">
        <v>1460</v>
      </c>
      <c r="D513" s="2" t="str">
        <f t="shared" si="7"/>
        <v>http://zfin.org/ZDB-GENE-980605-16</v>
      </c>
      <c r="E513" s="1" t="s">
        <v>7635</v>
      </c>
      <c r="F513" s="3">
        <v>3.6915231249847801E-7</v>
      </c>
      <c r="G513" s="1">
        <v>-0.92052124101063604</v>
      </c>
      <c r="H513" s="1">
        <v>0.16700000000000001</v>
      </c>
      <c r="I513" s="1">
        <v>0.36699999999999999</v>
      </c>
      <c r="J513" s="1">
        <v>2</v>
      </c>
    </row>
    <row r="514" spans="1:10" x14ac:dyDescent="0.2">
      <c r="A514" s="1" t="s">
        <v>997</v>
      </c>
      <c r="B514" s="1" t="s">
        <v>996</v>
      </c>
      <c r="C514" s="1" t="s">
        <v>995</v>
      </c>
      <c r="D514" s="2" t="str">
        <f t="shared" ref="D514:D577" si="8">HYPERLINK(E514)</f>
        <v>http://zfin.org/ZDB-GENE-040426-1670</v>
      </c>
      <c r="E514" s="1" t="s">
        <v>7634</v>
      </c>
      <c r="F514" s="3">
        <v>3.4157211379140699E-24</v>
      </c>
      <c r="G514" s="1">
        <v>-0.91754208238165702</v>
      </c>
      <c r="H514" s="1">
        <v>0.97399999999999998</v>
      </c>
      <c r="I514" s="1">
        <v>0.98299999999999998</v>
      </c>
      <c r="J514" s="1">
        <v>2</v>
      </c>
    </row>
    <row r="515" spans="1:10" x14ac:dyDescent="0.2">
      <c r="A515" s="1" t="s">
        <v>86</v>
      </c>
      <c r="B515" s="1" t="s">
        <v>7633</v>
      </c>
      <c r="C515" s="1" t="s">
        <v>7632</v>
      </c>
      <c r="D515" s="2" t="str">
        <f t="shared" si="8"/>
        <v>http://zfin.org/ZDB-GENE-990415-52</v>
      </c>
      <c r="E515" s="1" t="s">
        <v>7631</v>
      </c>
      <c r="F515" s="3">
        <v>5.9823883161190398E-26</v>
      </c>
      <c r="G515" s="1">
        <v>-0.91514620710780104</v>
      </c>
      <c r="H515" s="1">
        <v>1</v>
      </c>
      <c r="I515" s="1">
        <v>1</v>
      </c>
      <c r="J515" s="1">
        <v>2</v>
      </c>
    </row>
    <row r="516" spans="1:10" x14ac:dyDescent="0.2">
      <c r="A516" s="1" t="s">
        <v>867</v>
      </c>
      <c r="B516" s="1" t="s">
        <v>866</v>
      </c>
      <c r="C516" s="1" t="s">
        <v>865</v>
      </c>
      <c r="D516" s="2" t="str">
        <f t="shared" si="8"/>
        <v>http://zfin.org/ZDB-GENE-020423-3</v>
      </c>
      <c r="E516" s="1" t="s">
        <v>7630</v>
      </c>
      <c r="F516" s="3">
        <v>2.4090642720400201E-20</v>
      </c>
      <c r="G516" s="1">
        <v>-0.91124631287146196</v>
      </c>
      <c r="H516" s="1">
        <v>0.89500000000000002</v>
      </c>
      <c r="I516" s="1">
        <v>0.91700000000000004</v>
      </c>
      <c r="J516" s="1">
        <v>2</v>
      </c>
    </row>
    <row r="517" spans="1:10" x14ac:dyDescent="0.2">
      <c r="A517" s="1" t="s">
        <v>2768</v>
      </c>
      <c r="B517" s="1" t="s">
        <v>2767</v>
      </c>
      <c r="C517" s="1" t="s">
        <v>2766</v>
      </c>
      <c r="D517" s="2" t="str">
        <f t="shared" si="8"/>
        <v>http://zfin.org/ZDB-GENE-040426-1810</v>
      </c>
      <c r="E517" s="1" t="s">
        <v>7629</v>
      </c>
      <c r="F517" s="3">
        <v>7.1457239960772302E-6</v>
      </c>
      <c r="G517" s="1">
        <v>-0.91066607633635899</v>
      </c>
      <c r="H517" s="1">
        <v>1.7999999999999999E-2</v>
      </c>
      <c r="I517" s="1">
        <v>0.2</v>
      </c>
      <c r="J517" s="1">
        <v>2</v>
      </c>
    </row>
    <row r="518" spans="1:10" x14ac:dyDescent="0.2">
      <c r="A518" s="1" t="s">
        <v>7628</v>
      </c>
      <c r="B518" s="1" t="s">
        <v>7627</v>
      </c>
      <c r="C518" s="1" t="s">
        <v>7626</v>
      </c>
      <c r="D518" s="2" t="str">
        <f t="shared" si="8"/>
        <v>http://zfin.org/ZDB-GENE-040426-2902</v>
      </c>
      <c r="E518" s="1" t="s">
        <v>7625</v>
      </c>
      <c r="F518" s="3">
        <v>2.1874028771310501E-11</v>
      </c>
      <c r="G518" s="1">
        <v>-0.90575701698245903</v>
      </c>
      <c r="H518" s="1">
        <v>0.39500000000000002</v>
      </c>
      <c r="I518" s="1">
        <v>0.71699999999999997</v>
      </c>
      <c r="J518" s="1">
        <v>2</v>
      </c>
    </row>
    <row r="519" spans="1:10" x14ac:dyDescent="0.2">
      <c r="A519" s="1" t="s">
        <v>973</v>
      </c>
      <c r="B519" s="1" t="s">
        <v>972</v>
      </c>
      <c r="C519" s="1" t="s">
        <v>971</v>
      </c>
      <c r="D519" s="2" t="str">
        <f t="shared" si="8"/>
        <v>http://zfin.org/ZDB-GENE-030131-8756</v>
      </c>
      <c r="E519" s="1" t="s">
        <v>7624</v>
      </c>
      <c r="F519" s="3">
        <v>2.3840063839230999E-26</v>
      </c>
      <c r="G519" s="1">
        <v>-0.89992588527222095</v>
      </c>
      <c r="H519" s="1">
        <v>1</v>
      </c>
      <c r="I519" s="1">
        <v>0.96699999999999997</v>
      </c>
      <c r="J519" s="1">
        <v>2</v>
      </c>
    </row>
    <row r="520" spans="1:10" x14ac:dyDescent="0.2">
      <c r="A520" s="1" t="s">
        <v>864</v>
      </c>
      <c r="B520" s="1" t="s">
        <v>863</v>
      </c>
      <c r="C520" s="1" t="s">
        <v>862</v>
      </c>
      <c r="D520" s="2" t="str">
        <f t="shared" si="8"/>
        <v>http://zfin.org/ZDB-GENE-001208-4</v>
      </c>
      <c r="E520" s="1" t="s">
        <v>7623</v>
      </c>
      <c r="F520" s="3">
        <v>6.1154066068016704E-17</v>
      </c>
      <c r="G520" s="1">
        <v>-0.89839271483402094</v>
      </c>
      <c r="H520" s="1">
        <v>0.81599999999999995</v>
      </c>
      <c r="I520" s="1">
        <v>0.91700000000000004</v>
      </c>
      <c r="J520" s="1">
        <v>2</v>
      </c>
    </row>
    <row r="521" spans="1:10" x14ac:dyDescent="0.2">
      <c r="A521" s="1" t="s">
        <v>1051</v>
      </c>
      <c r="B521" s="1" t="s">
        <v>1050</v>
      </c>
      <c r="C521" s="1" t="s">
        <v>1049</v>
      </c>
      <c r="D521" s="2" t="str">
        <f t="shared" si="8"/>
        <v>http://zfin.org/ZDB-GENE-040426-1716</v>
      </c>
      <c r="E521" s="1" t="s">
        <v>7622</v>
      </c>
      <c r="F521" s="3">
        <v>2.7567147858713099E-28</v>
      </c>
      <c r="G521" s="1">
        <v>-0.89731183796010405</v>
      </c>
      <c r="H521" s="1">
        <v>1</v>
      </c>
      <c r="I521" s="1">
        <v>1</v>
      </c>
      <c r="J521" s="1">
        <v>2</v>
      </c>
    </row>
    <row r="522" spans="1:10" x14ac:dyDescent="0.2">
      <c r="A522" s="1" t="s">
        <v>1003</v>
      </c>
      <c r="B522" s="1" t="s">
        <v>1002</v>
      </c>
      <c r="C522" s="1" t="s">
        <v>1001</v>
      </c>
      <c r="D522" s="2" t="str">
        <f t="shared" si="8"/>
        <v>http://zfin.org/ZDB-GENE-030131-8654</v>
      </c>
      <c r="E522" s="1" t="s">
        <v>7621</v>
      </c>
      <c r="F522" s="3">
        <v>3.9479954252957302E-26</v>
      </c>
      <c r="G522" s="1">
        <v>-0.89418262012476901</v>
      </c>
      <c r="H522" s="1">
        <v>0.99099999999999999</v>
      </c>
      <c r="I522" s="1">
        <v>0.98299999999999998</v>
      </c>
      <c r="J522" s="1">
        <v>2</v>
      </c>
    </row>
    <row r="523" spans="1:10" x14ac:dyDescent="0.2">
      <c r="A523" s="1" t="s">
        <v>2459</v>
      </c>
      <c r="B523" s="1" t="s">
        <v>2458</v>
      </c>
      <c r="C523" s="1" t="s">
        <v>2457</v>
      </c>
      <c r="D523" s="2" t="str">
        <f t="shared" si="8"/>
        <v>http://zfin.org/ZDB-GENE-040426-1852</v>
      </c>
      <c r="E523" s="1" t="s">
        <v>7620</v>
      </c>
      <c r="F523" s="3">
        <v>1.5567689386704699E-13</v>
      </c>
      <c r="G523" s="1">
        <v>-0.89269135184887305</v>
      </c>
      <c r="H523" s="1">
        <v>0.61399999999999999</v>
      </c>
      <c r="I523" s="1">
        <v>0.86699999999999999</v>
      </c>
      <c r="J523" s="1">
        <v>2</v>
      </c>
    </row>
    <row r="524" spans="1:10" x14ac:dyDescent="0.2">
      <c r="A524" s="1" t="s">
        <v>7619</v>
      </c>
      <c r="B524" s="1" t="s">
        <v>7618</v>
      </c>
      <c r="C524" s="1" t="s">
        <v>7617</v>
      </c>
      <c r="D524" s="2" t="str">
        <f t="shared" si="8"/>
        <v>http://zfin.org/ZDB-GENE-040625-96</v>
      </c>
      <c r="E524" s="1" t="s">
        <v>7616</v>
      </c>
      <c r="F524" s="3">
        <v>3.0183756831469398E-18</v>
      </c>
      <c r="G524" s="1">
        <v>-0.89008063110340696</v>
      </c>
      <c r="H524" s="1">
        <v>0.51800000000000002</v>
      </c>
      <c r="I524" s="1">
        <v>0.76700000000000002</v>
      </c>
      <c r="J524" s="1">
        <v>2</v>
      </c>
    </row>
    <row r="525" spans="1:10" x14ac:dyDescent="0.2">
      <c r="A525" s="1" t="s">
        <v>268</v>
      </c>
      <c r="B525" s="1" t="s">
        <v>267</v>
      </c>
      <c r="C525" s="1" t="s">
        <v>269</v>
      </c>
      <c r="D525" s="2" t="str">
        <f t="shared" si="8"/>
        <v>http://zfin.org/ZDB-GENE-040801-165</v>
      </c>
      <c r="E525" s="1" t="s">
        <v>7615</v>
      </c>
      <c r="F525" s="3">
        <v>4.01507440482102E-20</v>
      </c>
      <c r="G525" s="1">
        <v>-0.88763641928175996</v>
      </c>
      <c r="H525" s="1">
        <v>0.98199999999999998</v>
      </c>
      <c r="I525" s="1">
        <v>1</v>
      </c>
      <c r="J525" s="1">
        <v>2</v>
      </c>
    </row>
    <row r="526" spans="1:10" x14ac:dyDescent="0.2">
      <c r="A526" s="1" t="s">
        <v>937</v>
      </c>
      <c r="B526" s="1" t="s">
        <v>936</v>
      </c>
      <c r="C526" s="1" t="s">
        <v>935</v>
      </c>
      <c r="D526" s="2" t="str">
        <f t="shared" si="8"/>
        <v>http://zfin.org/ZDB-GENE-040801-8</v>
      </c>
      <c r="E526" s="1" t="s">
        <v>7614</v>
      </c>
      <c r="F526" s="3">
        <v>7.1076080739122799E-21</v>
      </c>
      <c r="G526" s="1">
        <v>-0.88645339216511798</v>
      </c>
      <c r="H526" s="1">
        <v>0.98199999999999998</v>
      </c>
      <c r="I526" s="1">
        <v>0.98299999999999998</v>
      </c>
      <c r="J526" s="1">
        <v>2</v>
      </c>
    </row>
    <row r="527" spans="1:10" x14ac:dyDescent="0.2">
      <c r="A527" s="1" t="s">
        <v>7613</v>
      </c>
      <c r="B527" s="1" t="s">
        <v>7612</v>
      </c>
      <c r="C527" s="1" t="s">
        <v>7611</v>
      </c>
      <c r="D527" s="2" t="str">
        <f t="shared" si="8"/>
        <v>http://zfin.org/ZDB-GENE-020419-32</v>
      </c>
      <c r="E527" s="1" t="s">
        <v>7610</v>
      </c>
      <c r="F527" s="3">
        <v>6.1379621023374602E-17</v>
      </c>
      <c r="G527" s="1">
        <v>-0.87455831146084295</v>
      </c>
      <c r="H527" s="1">
        <v>0.59599999999999997</v>
      </c>
      <c r="I527" s="1">
        <v>0.65</v>
      </c>
      <c r="J527" s="1">
        <v>2</v>
      </c>
    </row>
    <row r="528" spans="1:10" x14ac:dyDescent="0.2">
      <c r="A528" s="1" t="s">
        <v>2791</v>
      </c>
      <c r="B528" s="1" t="s">
        <v>2790</v>
      </c>
      <c r="C528" s="1" t="s">
        <v>2789</v>
      </c>
      <c r="D528" s="2" t="str">
        <f t="shared" si="8"/>
        <v>http://zfin.org/ZDB-GENE-990415-17</v>
      </c>
      <c r="E528" s="1" t="s">
        <v>7609</v>
      </c>
      <c r="F528" s="3">
        <v>1.5689018122017199E-10</v>
      </c>
      <c r="G528" s="1">
        <v>-0.87407905776787098</v>
      </c>
      <c r="H528" s="1">
        <v>0.60499999999999998</v>
      </c>
      <c r="I528" s="1">
        <v>0.9</v>
      </c>
      <c r="J528" s="1">
        <v>2</v>
      </c>
    </row>
    <row r="529" spans="1:10" x14ac:dyDescent="0.2">
      <c r="A529" s="1" t="s">
        <v>7608</v>
      </c>
      <c r="B529" s="1" t="s">
        <v>7607</v>
      </c>
      <c r="C529" s="1" t="s">
        <v>7606</v>
      </c>
      <c r="D529" s="2" t="str">
        <f t="shared" si="8"/>
        <v>http://zfin.org/ZDB-GENE-031030-2</v>
      </c>
      <c r="E529" s="1" t="s">
        <v>7605</v>
      </c>
      <c r="F529" s="3">
        <v>2.2853924850941199E-10</v>
      </c>
      <c r="G529" s="1">
        <v>-0.87390660340700099</v>
      </c>
      <c r="H529" s="1">
        <v>0.377</v>
      </c>
      <c r="I529" s="1">
        <v>0.55000000000000004</v>
      </c>
      <c r="J529" s="1">
        <v>2</v>
      </c>
    </row>
    <row r="530" spans="1:10" x14ac:dyDescent="0.2">
      <c r="A530" s="1" t="s">
        <v>928</v>
      </c>
      <c r="B530" s="1" t="s">
        <v>927</v>
      </c>
      <c r="C530" s="1" t="s">
        <v>926</v>
      </c>
      <c r="D530" s="2" t="str">
        <f t="shared" si="8"/>
        <v>http://zfin.org/ZDB-GENE-040426-1706</v>
      </c>
      <c r="E530" s="1" t="s">
        <v>7604</v>
      </c>
      <c r="F530" s="3">
        <v>1.4380936657354E-23</v>
      </c>
      <c r="G530" s="1">
        <v>-0.87132487032212202</v>
      </c>
      <c r="H530" s="1">
        <v>0.86</v>
      </c>
      <c r="I530" s="1">
        <v>0.91700000000000004</v>
      </c>
      <c r="J530" s="1">
        <v>2</v>
      </c>
    </row>
    <row r="531" spans="1:10" x14ac:dyDescent="0.2">
      <c r="A531" s="1" t="s">
        <v>7603</v>
      </c>
      <c r="B531" s="1" t="s">
        <v>7602</v>
      </c>
      <c r="C531" s="1" t="s">
        <v>7601</v>
      </c>
      <c r="D531" s="2" t="str">
        <f t="shared" si="8"/>
        <v>http://zfin.org/ZDB-GENE-990415-216</v>
      </c>
      <c r="E531" s="1" t="s">
        <v>7600</v>
      </c>
      <c r="F531" s="3">
        <v>4.5725984122114703E-15</v>
      </c>
      <c r="G531" s="1">
        <v>-0.86836292483069599</v>
      </c>
      <c r="H531" s="1">
        <v>0.71099999999999997</v>
      </c>
      <c r="I531" s="1">
        <v>0.83299999999999996</v>
      </c>
      <c r="J531" s="1">
        <v>2</v>
      </c>
    </row>
    <row r="532" spans="1:10" x14ac:dyDescent="0.2">
      <c r="A532" s="1" t="s">
        <v>976</v>
      </c>
      <c r="B532" s="1" t="s">
        <v>975</v>
      </c>
      <c r="C532" s="1" t="s">
        <v>974</v>
      </c>
      <c r="D532" s="2" t="str">
        <f t="shared" si="8"/>
        <v>http://zfin.org/ZDB-GENE-040426-1700</v>
      </c>
      <c r="E532" s="1" t="s">
        <v>7599</v>
      </c>
      <c r="F532" s="3">
        <v>1.3407427186152801E-22</v>
      </c>
      <c r="G532" s="1">
        <v>-0.863931911055274</v>
      </c>
      <c r="H532" s="1">
        <v>0.98199999999999998</v>
      </c>
      <c r="I532" s="1">
        <v>0.98299999999999998</v>
      </c>
      <c r="J532" s="1">
        <v>2</v>
      </c>
    </row>
    <row r="533" spans="1:10" x14ac:dyDescent="0.2">
      <c r="A533" s="1" t="s">
        <v>1925</v>
      </c>
      <c r="B533" s="1" t="s">
        <v>1924</v>
      </c>
      <c r="C533" s="1" t="s">
        <v>1923</v>
      </c>
      <c r="D533" s="2" t="str">
        <f t="shared" si="8"/>
        <v>http://zfin.org/ZDB-GENE-030131-7828</v>
      </c>
      <c r="E533" s="1" t="s">
        <v>7598</v>
      </c>
      <c r="F533" s="3">
        <v>5.3529775911247401E-12</v>
      </c>
      <c r="G533" s="1">
        <v>-0.863925677608124</v>
      </c>
      <c r="H533" s="1">
        <v>0.158</v>
      </c>
      <c r="I533" s="1">
        <v>0.45</v>
      </c>
      <c r="J533" s="1">
        <v>2</v>
      </c>
    </row>
    <row r="534" spans="1:10" x14ac:dyDescent="0.2">
      <c r="A534" s="1" t="s">
        <v>7597</v>
      </c>
      <c r="B534" s="1" t="s">
        <v>7596</v>
      </c>
      <c r="C534" s="1" t="s">
        <v>7595</v>
      </c>
      <c r="D534" s="2" t="str">
        <f t="shared" si="8"/>
        <v>http://zfin.org/ZDB-GENE-030131-1921</v>
      </c>
      <c r="E534" s="1" t="s">
        <v>7594</v>
      </c>
      <c r="F534" s="3">
        <v>2.64713171002528E-12</v>
      </c>
      <c r="G534" s="1">
        <v>-0.86388719913656797</v>
      </c>
      <c r="H534" s="1">
        <v>8.7999999999999995E-2</v>
      </c>
      <c r="I534" s="1">
        <v>0.35</v>
      </c>
      <c r="J534" s="1">
        <v>2</v>
      </c>
    </row>
    <row r="535" spans="1:10" x14ac:dyDescent="0.2">
      <c r="A535" s="1" t="s">
        <v>955</v>
      </c>
      <c r="B535" s="1" t="s">
        <v>954</v>
      </c>
      <c r="C535" s="1" t="s">
        <v>953</v>
      </c>
      <c r="D535" s="2" t="str">
        <f t="shared" si="8"/>
        <v>http://zfin.org/ZDB-GENE-030131-8656</v>
      </c>
      <c r="E535" s="1" t="s">
        <v>7593</v>
      </c>
      <c r="F535" s="3">
        <v>1.77874961573127E-25</v>
      </c>
      <c r="G535" s="1">
        <v>-0.86383602757538902</v>
      </c>
      <c r="H535" s="1">
        <v>0.95599999999999996</v>
      </c>
      <c r="I535" s="1">
        <v>0.95</v>
      </c>
      <c r="J535" s="1">
        <v>2</v>
      </c>
    </row>
    <row r="536" spans="1:10" x14ac:dyDescent="0.2">
      <c r="A536" s="1" t="s">
        <v>834</v>
      </c>
      <c r="B536" s="1" t="s">
        <v>833</v>
      </c>
      <c r="C536" s="1" t="s">
        <v>832</v>
      </c>
      <c r="D536" s="2" t="str">
        <f t="shared" si="8"/>
        <v>http://zfin.org/ZDB-GENE-030131-8585</v>
      </c>
      <c r="E536" s="1" t="s">
        <v>7592</v>
      </c>
      <c r="F536" s="3">
        <v>1.5448292265205199E-17</v>
      </c>
      <c r="G536" s="1">
        <v>-0.86253446067194495</v>
      </c>
      <c r="H536" s="1">
        <v>0.90400000000000003</v>
      </c>
      <c r="I536" s="1">
        <v>0.91700000000000004</v>
      </c>
      <c r="J536" s="1">
        <v>2</v>
      </c>
    </row>
    <row r="537" spans="1:10" x14ac:dyDescent="0.2">
      <c r="A537" s="1" t="s">
        <v>7591</v>
      </c>
      <c r="B537" s="1" t="s">
        <v>7590</v>
      </c>
      <c r="C537" s="1" t="s">
        <v>7589</v>
      </c>
      <c r="D537" s="2" t="str">
        <f t="shared" si="8"/>
        <v>http://zfin.org/ZDB-GENE-030131-5161</v>
      </c>
      <c r="E537" s="1" t="s">
        <v>7588</v>
      </c>
      <c r="F537" s="3">
        <v>3.3904916342424901E-15</v>
      </c>
      <c r="G537" s="1">
        <v>-0.86222072539512096</v>
      </c>
      <c r="H537" s="1">
        <v>0.71899999999999997</v>
      </c>
      <c r="I537" s="1">
        <v>0.88300000000000001</v>
      </c>
      <c r="J537" s="1">
        <v>2</v>
      </c>
    </row>
    <row r="538" spans="1:10" x14ac:dyDescent="0.2">
      <c r="A538" s="1" t="s">
        <v>7587</v>
      </c>
      <c r="B538" s="1" t="s">
        <v>7586</v>
      </c>
      <c r="C538" s="1" t="s">
        <v>7585</v>
      </c>
      <c r="D538" s="2" t="str">
        <f t="shared" si="8"/>
        <v>http://zfin.org/ZDB-GENE-081105-168</v>
      </c>
      <c r="E538" s="1" t="s">
        <v>7584</v>
      </c>
      <c r="F538" s="3">
        <v>2.2804064833209401E-15</v>
      </c>
      <c r="G538" s="1">
        <v>-0.86133834715443003</v>
      </c>
      <c r="H538" s="1">
        <v>0.78100000000000003</v>
      </c>
      <c r="I538" s="1">
        <v>0.85</v>
      </c>
      <c r="J538" s="1">
        <v>2</v>
      </c>
    </row>
    <row r="539" spans="1:10" x14ac:dyDescent="0.2">
      <c r="A539" s="1" t="s">
        <v>214</v>
      </c>
      <c r="B539" s="1" t="s">
        <v>213</v>
      </c>
      <c r="C539" s="1" t="s">
        <v>215</v>
      </c>
      <c r="D539" s="2" t="str">
        <f t="shared" si="8"/>
        <v>http://zfin.org/ZDB-GENE-070928-31</v>
      </c>
      <c r="E539" s="1" t="s">
        <v>7583</v>
      </c>
      <c r="F539" s="3">
        <v>1.7772046742872499E-27</v>
      </c>
      <c r="G539" s="1">
        <v>-0.86090972608599203</v>
      </c>
      <c r="H539" s="1">
        <v>1</v>
      </c>
      <c r="I539" s="1">
        <v>1</v>
      </c>
      <c r="J539" s="1">
        <v>2</v>
      </c>
    </row>
    <row r="540" spans="1:10" x14ac:dyDescent="0.2">
      <c r="A540" s="1" t="s">
        <v>994</v>
      </c>
      <c r="B540" s="1" t="s">
        <v>993</v>
      </c>
      <c r="C540" s="1" t="s">
        <v>992</v>
      </c>
      <c r="D540" s="2" t="str">
        <f t="shared" si="8"/>
        <v>http://zfin.org/ZDB-GENE-040625-51</v>
      </c>
      <c r="E540" s="1" t="s">
        <v>7582</v>
      </c>
      <c r="F540" s="3">
        <v>2.44490080452532E-23</v>
      </c>
      <c r="G540" s="1">
        <v>-0.85721696736627795</v>
      </c>
      <c r="H540" s="1">
        <v>0.99099999999999999</v>
      </c>
      <c r="I540" s="1">
        <v>1</v>
      </c>
      <c r="J540" s="1">
        <v>2</v>
      </c>
    </row>
    <row r="541" spans="1:10" x14ac:dyDescent="0.2">
      <c r="A541" s="1" t="s">
        <v>7581</v>
      </c>
      <c r="B541" s="1" t="s">
        <v>7580</v>
      </c>
      <c r="C541" s="1" t="s">
        <v>7579</v>
      </c>
      <c r="D541" s="2" t="str">
        <f t="shared" si="8"/>
        <v>http://zfin.org/ZDB-GENE-030131-3885</v>
      </c>
      <c r="E541" s="1" t="s">
        <v>7578</v>
      </c>
      <c r="F541" s="3">
        <v>1.21541984538068E-14</v>
      </c>
      <c r="G541" s="1">
        <v>-0.85593887031676597</v>
      </c>
      <c r="H541" s="1">
        <v>0.184</v>
      </c>
      <c r="I541" s="1">
        <v>0.45</v>
      </c>
      <c r="J541" s="1">
        <v>2</v>
      </c>
    </row>
    <row r="542" spans="1:10" x14ac:dyDescent="0.2">
      <c r="A542" s="1" t="s">
        <v>2702</v>
      </c>
      <c r="B542" s="1" t="s">
        <v>2701</v>
      </c>
      <c r="C542" s="1" t="s">
        <v>2700</v>
      </c>
      <c r="D542" s="2" t="str">
        <f t="shared" si="8"/>
        <v>http://zfin.org/ZDB-GENE-050208-448</v>
      </c>
      <c r="E542" s="1" t="s">
        <v>7577</v>
      </c>
      <c r="F542" s="3">
        <v>1.9639414980459899E-7</v>
      </c>
      <c r="G542" s="1">
        <v>-0.85518205341751297</v>
      </c>
      <c r="H542" s="1">
        <v>3.5000000000000003E-2</v>
      </c>
      <c r="I542" s="1">
        <v>0.33300000000000002</v>
      </c>
      <c r="J542" s="1">
        <v>2</v>
      </c>
    </row>
    <row r="543" spans="1:10" x14ac:dyDescent="0.2">
      <c r="A543" s="1" t="s">
        <v>925</v>
      </c>
      <c r="B543" s="1" t="s">
        <v>924</v>
      </c>
      <c r="C543" s="1" t="s">
        <v>923</v>
      </c>
      <c r="D543" s="2" t="str">
        <f t="shared" si="8"/>
        <v>http://zfin.org/ZDB-GENE-071004-16</v>
      </c>
      <c r="E543" s="1" t="s">
        <v>7576</v>
      </c>
      <c r="F543" s="3">
        <v>1.7202043562595299E-23</v>
      </c>
      <c r="G543" s="1">
        <v>-0.85383049795054</v>
      </c>
      <c r="H543" s="1">
        <v>0.99099999999999999</v>
      </c>
      <c r="I543" s="1">
        <v>0.95</v>
      </c>
      <c r="J543" s="1">
        <v>2</v>
      </c>
    </row>
    <row r="544" spans="1:10" x14ac:dyDescent="0.2">
      <c r="A544" s="1" t="s">
        <v>2765</v>
      </c>
      <c r="B544" s="1" t="s">
        <v>2764</v>
      </c>
      <c r="C544" s="1" t="s">
        <v>2763</v>
      </c>
      <c r="D544" s="2" t="str">
        <f t="shared" si="8"/>
        <v>http://zfin.org/ZDB-GENE-050208-34</v>
      </c>
      <c r="E544" s="1" t="s">
        <v>7575</v>
      </c>
      <c r="F544" s="3">
        <v>3.14640198987202E-9</v>
      </c>
      <c r="G544" s="1">
        <v>-0.85295656379946605</v>
      </c>
      <c r="H544" s="1">
        <v>7.9000000000000001E-2</v>
      </c>
      <c r="I544" s="1">
        <v>0.38300000000000001</v>
      </c>
      <c r="J544" s="1">
        <v>2</v>
      </c>
    </row>
    <row r="545" spans="1:10" x14ac:dyDescent="0.2">
      <c r="A545" s="1" t="s">
        <v>2528</v>
      </c>
      <c r="B545" s="1" t="s">
        <v>2527</v>
      </c>
      <c r="C545" s="1" t="s">
        <v>2526</v>
      </c>
      <c r="D545" s="2" t="str">
        <f t="shared" si="8"/>
        <v>http://zfin.org/ZDB-GENE-071005-2</v>
      </c>
      <c r="E545" s="1" t="s">
        <v>7574</v>
      </c>
      <c r="F545" s="3">
        <v>3.5618709859818102E-15</v>
      </c>
      <c r="G545" s="1">
        <v>-0.84885316964772195</v>
      </c>
      <c r="H545" s="1">
        <v>0.70199999999999996</v>
      </c>
      <c r="I545" s="1">
        <v>0.9</v>
      </c>
      <c r="J545" s="1">
        <v>2</v>
      </c>
    </row>
    <row r="546" spans="1:10" x14ac:dyDescent="0.2">
      <c r="A546" s="1" t="s">
        <v>979</v>
      </c>
      <c r="B546" s="1" t="s">
        <v>978</v>
      </c>
      <c r="C546" s="1" t="s">
        <v>977</v>
      </c>
      <c r="D546" s="2" t="str">
        <f t="shared" si="8"/>
        <v>http://zfin.org/ZDB-GENE-031001-9</v>
      </c>
      <c r="E546" s="1" t="s">
        <v>7573</v>
      </c>
      <c r="F546" s="3">
        <v>5.9935593011600405E-20</v>
      </c>
      <c r="G546" s="1">
        <v>-0.84765211045529698</v>
      </c>
      <c r="H546" s="1">
        <v>0.98199999999999998</v>
      </c>
      <c r="I546" s="1">
        <v>1</v>
      </c>
      <c r="J546" s="1">
        <v>2</v>
      </c>
    </row>
    <row r="547" spans="1:10" x14ac:dyDescent="0.2">
      <c r="A547" s="1" t="s">
        <v>2771</v>
      </c>
      <c r="B547" s="1" t="s">
        <v>2770</v>
      </c>
      <c r="C547" s="1" t="s">
        <v>2769</v>
      </c>
      <c r="D547" s="2" t="str">
        <f t="shared" si="8"/>
        <v>http://zfin.org/ZDB-GENE-980526-521</v>
      </c>
      <c r="E547" s="1" t="s">
        <v>7572</v>
      </c>
      <c r="F547" s="3">
        <v>1.4289570139993001E-7</v>
      </c>
      <c r="G547" s="1">
        <v>-0.84637440014136101</v>
      </c>
      <c r="H547" s="1">
        <v>6.0999999999999999E-2</v>
      </c>
      <c r="I547" s="1">
        <v>0.13300000000000001</v>
      </c>
      <c r="J547" s="1">
        <v>2</v>
      </c>
    </row>
    <row r="548" spans="1:10" x14ac:dyDescent="0.2">
      <c r="A548" s="1" t="s">
        <v>2019</v>
      </c>
      <c r="B548" s="1" t="s">
        <v>2018</v>
      </c>
      <c r="C548" s="1" t="s">
        <v>2017</v>
      </c>
      <c r="D548" s="2" t="str">
        <f t="shared" si="8"/>
        <v>http://zfin.org/ZDB-GENE-000607-83</v>
      </c>
      <c r="E548" s="1" t="s">
        <v>7571</v>
      </c>
      <c r="F548" s="3">
        <v>4.9052092755386402E-12</v>
      </c>
      <c r="G548" s="1">
        <v>-0.84409993121531401</v>
      </c>
      <c r="H548" s="1">
        <v>0.90400000000000003</v>
      </c>
      <c r="I548" s="1">
        <v>0.88300000000000001</v>
      </c>
      <c r="J548" s="1">
        <v>2</v>
      </c>
    </row>
    <row r="549" spans="1:10" x14ac:dyDescent="0.2">
      <c r="A549" s="1" t="s">
        <v>7570</v>
      </c>
      <c r="B549" s="1" t="s">
        <v>7569</v>
      </c>
      <c r="C549" s="1" t="s">
        <v>7568</v>
      </c>
      <c r="D549" s="2" t="str">
        <f t="shared" si="8"/>
        <v>http://zfin.org/ZDB-GENE-040426-2345</v>
      </c>
      <c r="E549" s="1" t="s">
        <v>7567</v>
      </c>
      <c r="F549" s="3">
        <v>1.65897645399103E-12</v>
      </c>
      <c r="G549" s="1">
        <v>-0.84294611156116706</v>
      </c>
      <c r="H549" s="1">
        <v>0.49099999999999999</v>
      </c>
      <c r="I549" s="1">
        <v>0.73299999999999998</v>
      </c>
      <c r="J549" s="1">
        <v>2</v>
      </c>
    </row>
    <row r="550" spans="1:10" x14ac:dyDescent="0.2">
      <c r="A550" s="1" t="s">
        <v>2687</v>
      </c>
      <c r="B550" s="1" t="s">
        <v>2686</v>
      </c>
      <c r="C550" s="1" t="s">
        <v>2685</v>
      </c>
      <c r="D550" s="2" t="str">
        <f t="shared" si="8"/>
        <v>http://zfin.org/ZDB-GENE-030131-475</v>
      </c>
      <c r="E550" s="1" t="s">
        <v>7566</v>
      </c>
      <c r="F550" s="3">
        <v>2.35586184161229E-7</v>
      </c>
      <c r="G550" s="1">
        <v>-0.84246479699530996</v>
      </c>
      <c r="H550" s="1">
        <v>4.3999999999999997E-2</v>
      </c>
      <c r="I550" s="1">
        <v>0.33300000000000002</v>
      </c>
      <c r="J550" s="1">
        <v>2</v>
      </c>
    </row>
    <row r="551" spans="1:10" x14ac:dyDescent="0.2">
      <c r="A551" s="1" t="s">
        <v>1949</v>
      </c>
      <c r="B551" s="1" t="s">
        <v>1948</v>
      </c>
      <c r="C551" s="1" t="s">
        <v>1947</v>
      </c>
      <c r="D551" s="2" t="str">
        <f t="shared" si="8"/>
        <v>http://zfin.org/ZDB-GENE-050417-329</v>
      </c>
      <c r="E551" s="1" t="s">
        <v>7565</v>
      </c>
      <c r="F551" s="3">
        <v>1.4742202773301899E-14</v>
      </c>
      <c r="G551" s="1">
        <v>-0.84176008521740198</v>
      </c>
      <c r="H551" s="1">
        <v>0.99099999999999999</v>
      </c>
      <c r="I551" s="1">
        <v>0.96699999999999997</v>
      </c>
      <c r="J551" s="1">
        <v>2</v>
      </c>
    </row>
    <row r="552" spans="1:10" x14ac:dyDescent="0.2">
      <c r="A552" s="1" t="s">
        <v>1006</v>
      </c>
      <c r="B552" s="1" t="s">
        <v>1005</v>
      </c>
      <c r="C552" s="1" t="s">
        <v>1004</v>
      </c>
      <c r="D552" s="2" t="str">
        <f t="shared" si="8"/>
        <v>http://zfin.org/ZDB-GENE-040426-1718</v>
      </c>
      <c r="E552" s="1" t="s">
        <v>7564</v>
      </c>
      <c r="F552" s="3">
        <v>7.4209827482399203E-22</v>
      </c>
      <c r="G552" s="1">
        <v>-0.84071428839084505</v>
      </c>
      <c r="H552" s="1">
        <v>0.99099999999999999</v>
      </c>
      <c r="I552" s="1">
        <v>1</v>
      </c>
      <c r="J552" s="1">
        <v>2</v>
      </c>
    </row>
    <row r="553" spans="1:10" x14ac:dyDescent="0.2">
      <c r="A553" s="1" t="s">
        <v>3531</v>
      </c>
      <c r="B553" s="1" t="s">
        <v>3530</v>
      </c>
      <c r="C553" s="1" t="s">
        <v>3529</v>
      </c>
      <c r="D553" s="2" t="str">
        <f t="shared" si="8"/>
        <v>http://zfin.org/ZDB-GENE-040618-2</v>
      </c>
      <c r="E553" s="1" t="s">
        <v>7563</v>
      </c>
      <c r="F553" s="3">
        <v>4.5884631699290901E-14</v>
      </c>
      <c r="G553" s="1">
        <v>-0.84063548858965498</v>
      </c>
      <c r="H553" s="1">
        <v>0.77200000000000002</v>
      </c>
      <c r="I553" s="1">
        <v>0.88300000000000001</v>
      </c>
      <c r="J553" s="1">
        <v>2</v>
      </c>
    </row>
    <row r="554" spans="1:10" x14ac:dyDescent="0.2">
      <c r="A554" s="1" t="s">
        <v>7562</v>
      </c>
      <c r="B554" s="1" t="s">
        <v>7561</v>
      </c>
      <c r="C554" s="1" t="s">
        <v>7560</v>
      </c>
      <c r="D554" s="2" t="str">
        <f t="shared" si="8"/>
        <v>http://zfin.org/ZDB-GENE-040801-10</v>
      </c>
      <c r="E554" s="1" t="s">
        <v>7559</v>
      </c>
      <c r="F554" s="3">
        <v>3.25968524436154E-14</v>
      </c>
      <c r="G554" s="1">
        <v>-0.83761302070676902</v>
      </c>
      <c r="H554" s="1">
        <v>0.77200000000000002</v>
      </c>
      <c r="I554" s="1">
        <v>0.9</v>
      </c>
      <c r="J554" s="1">
        <v>2</v>
      </c>
    </row>
    <row r="555" spans="1:10" x14ac:dyDescent="0.2">
      <c r="A555" s="1" t="s">
        <v>277</v>
      </c>
      <c r="B555" s="1" t="s">
        <v>276</v>
      </c>
      <c r="C555" s="1" t="s">
        <v>278</v>
      </c>
      <c r="D555" s="2" t="str">
        <f t="shared" si="8"/>
        <v>http://zfin.org/ZDB-GENE-020419-2</v>
      </c>
      <c r="E555" s="1" t="s">
        <v>7558</v>
      </c>
      <c r="F555" s="3">
        <v>3.7121177797970598E-19</v>
      </c>
      <c r="G555" s="1">
        <v>-0.83552133382617499</v>
      </c>
      <c r="H555" s="1">
        <v>0.95599999999999996</v>
      </c>
      <c r="I555" s="1">
        <v>0.96699999999999997</v>
      </c>
      <c r="J555" s="1">
        <v>2</v>
      </c>
    </row>
    <row r="556" spans="1:10" x14ac:dyDescent="0.2">
      <c r="A556" s="1" t="s">
        <v>916</v>
      </c>
      <c r="B556" s="1" t="s">
        <v>915</v>
      </c>
      <c r="C556" s="1" t="s">
        <v>914</v>
      </c>
      <c r="D556" s="2" t="str">
        <f t="shared" si="8"/>
        <v>http://zfin.org/ZDB-GENE-040426-2701</v>
      </c>
      <c r="E556" s="1" t="s">
        <v>7557</v>
      </c>
      <c r="F556" s="3">
        <v>2.8321716114091801E-20</v>
      </c>
      <c r="G556" s="1">
        <v>-0.83494046989422899</v>
      </c>
      <c r="H556" s="1">
        <v>0.99099999999999999</v>
      </c>
      <c r="I556" s="1">
        <v>0.96699999999999997</v>
      </c>
      <c r="J556" s="1">
        <v>2</v>
      </c>
    </row>
    <row r="557" spans="1:10" x14ac:dyDescent="0.2">
      <c r="A557" s="1" t="s">
        <v>7556</v>
      </c>
      <c r="B557" s="1" t="s">
        <v>7555</v>
      </c>
      <c r="C557" s="1" t="s">
        <v>7554</v>
      </c>
      <c r="D557" s="2" t="str">
        <f t="shared" si="8"/>
        <v>http://zfin.org/ZDB-GENE-030131-5841</v>
      </c>
      <c r="E557" s="1" t="s">
        <v>7553</v>
      </c>
      <c r="F557" s="3">
        <v>6.1369377073979803E-16</v>
      </c>
      <c r="G557" s="1">
        <v>-0.83467353706467895</v>
      </c>
      <c r="H557" s="1">
        <v>0.96499999999999997</v>
      </c>
      <c r="I557" s="1">
        <v>0.95</v>
      </c>
      <c r="J557" s="1">
        <v>2</v>
      </c>
    </row>
    <row r="558" spans="1:10" x14ac:dyDescent="0.2">
      <c r="A558" s="1" t="s">
        <v>961</v>
      </c>
      <c r="B558" s="1" t="s">
        <v>960</v>
      </c>
      <c r="C558" s="1" t="s">
        <v>959</v>
      </c>
      <c r="D558" s="2" t="str">
        <f t="shared" si="8"/>
        <v>http://zfin.org/ZDB-GENE-050506-107</v>
      </c>
      <c r="E558" s="1" t="s">
        <v>7552</v>
      </c>
      <c r="F558" s="3">
        <v>3.4829985637976001E-22</v>
      </c>
      <c r="G558" s="1">
        <v>-0.83455423068308798</v>
      </c>
      <c r="H558" s="1">
        <v>1</v>
      </c>
      <c r="I558" s="1">
        <v>0.98299999999999998</v>
      </c>
      <c r="J558" s="1">
        <v>2</v>
      </c>
    </row>
    <row r="559" spans="1:10" x14ac:dyDescent="0.2">
      <c r="A559" s="1" t="s">
        <v>7551</v>
      </c>
      <c r="B559" s="1" t="s">
        <v>7550</v>
      </c>
      <c r="C559" s="1" t="s">
        <v>7549</v>
      </c>
      <c r="D559" s="2" t="str">
        <f t="shared" si="8"/>
        <v>http://zfin.org/ZDB-GENE-001212-1</v>
      </c>
      <c r="E559" s="1" t="s">
        <v>7548</v>
      </c>
      <c r="F559" s="3">
        <v>9.3677702078613794E-8</v>
      </c>
      <c r="G559" s="1">
        <v>-0.83282601767254305</v>
      </c>
      <c r="H559" s="1">
        <v>0.377</v>
      </c>
      <c r="I559" s="1">
        <v>0.71699999999999997</v>
      </c>
      <c r="J559" s="1">
        <v>2</v>
      </c>
    </row>
    <row r="560" spans="1:10" x14ac:dyDescent="0.2">
      <c r="A560" s="1" t="s">
        <v>3064</v>
      </c>
      <c r="B560" s="1" t="s">
        <v>3063</v>
      </c>
      <c r="C560" s="1" t="s">
        <v>3062</v>
      </c>
      <c r="D560" s="2" t="str">
        <f t="shared" si="8"/>
        <v>http://zfin.org/ZDB-GENE-030131-9034</v>
      </c>
      <c r="E560" s="1" t="s">
        <v>7547</v>
      </c>
      <c r="F560" s="3">
        <v>1.9097676015269401E-14</v>
      </c>
      <c r="G560" s="1">
        <v>-0.83238110699127199</v>
      </c>
      <c r="H560" s="1">
        <v>0.77200000000000002</v>
      </c>
      <c r="I560" s="1">
        <v>0.9</v>
      </c>
      <c r="J560" s="1">
        <v>2</v>
      </c>
    </row>
    <row r="561" spans="1:10" x14ac:dyDescent="0.2">
      <c r="A561" s="1" t="s">
        <v>3731</v>
      </c>
      <c r="B561" s="1" t="s">
        <v>3730</v>
      </c>
      <c r="C561" s="1" t="s">
        <v>3729</v>
      </c>
      <c r="D561" s="2" t="str">
        <f t="shared" si="8"/>
        <v>http://zfin.org/ZDB-GENE-030131-2085</v>
      </c>
      <c r="E561" s="1" t="s">
        <v>7546</v>
      </c>
      <c r="F561" s="3">
        <v>1.45828397997257E-12</v>
      </c>
      <c r="G561" s="1">
        <v>-0.83216498783801296</v>
      </c>
      <c r="H561" s="1">
        <v>0.746</v>
      </c>
      <c r="I561" s="1">
        <v>0.86699999999999999</v>
      </c>
      <c r="J561" s="1">
        <v>2</v>
      </c>
    </row>
    <row r="562" spans="1:10" x14ac:dyDescent="0.2">
      <c r="A562" s="1" t="s">
        <v>7545</v>
      </c>
      <c r="B562" s="1" t="s">
        <v>7544</v>
      </c>
      <c r="C562" s="1" t="s">
        <v>7543</v>
      </c>
      <c r="D562" s="2" t="str">
        <f t="shared" si="8"/>
        <v>http://zfin.org/ZDB-GENE-040914-10</v>
      </c>
      <c r="E562" s="1" t="s">
        <v>7542</v>
      </c>
      <c r="F562" s="3">
        <v>1.8716177356325602E-15</v>
      </c>
      <c r="G562" s="1">
        <v>-0.828693461705026</v>
      </c>
      <c r="H562" s="1">
        <v>0.55300000000000005</v>
      </c>
      <c r="I562" s="1">
        <v>0.7</v>
      </c>
      <c r="J562" s="1">
        <v>2</v>
      </c>
    </row>
    <row r="563" spans="1:10" x14ac:dyDescent="0.2">
      <c r="A563" s="1" t="s">
        <v>7541</v>
      </c>
      <c r="B563" s="1" t="s">
        <v>7540</v>
      </c>
      <c r="C563" s="1" t="s">
        <v>7539</v>
      </c>
      <c r="D563" s="2" t="str">
        <f t="shared" si="8"/>
        <v>http://zfin.org/ZDB-GENE-040426-1444</v>
      </c>
      <c r="E563" s="1" t="s">
        <v>7538</v>
      </c>
      <c r="F563" s="3">
        <v>1.5844961967907499E-14</v>
      </c>
      <c r="G563" s="1">
        <v>-0.82821261813527003</v>
      </c>
      <c r="H563" s="1">
        <v>0.57899999999999996</v>
      </c>
      <c r="I563" s="1">
        <v>0.76700000000000002</v>
      </c>
      <c r="J563" s="1">
        <v>2</v>
      </c>
    </row>
    <row r="564" spans="1:10" x14ac:dyDescent="0.2">
      <c r="A564" s="1" t="s">
        <v>967</v>
      </c>
      <c r="B564" s="1" t="s">
        <v>966</v>
      </c>
      <c r="C564" s="1" t="s">
        <v>965</v>
      </c>
      <c r="D564" s="2" t="str">
        <f t="shared" si="8"/>
        <v>http://zfin.org/ZDB-GENE-050522-549</v>
      </c>
      <c r="E564" s="1" t="s">
        <v>7537</v>
      </c>
      <c r="F564" s="3">
        <v>3.9409966782452598E-20</v>
      </c>
      <c r="G564" s="1">
        <v>-0.82794527660794204</v>
      </c>
      <c r="H564" s="1">
        <v>0.99099999999999999</v>
      </c>
      <c r="I564" s="1">
        <v>1</v>
      </c>
      <c r="J564" s="1">
        <v>2</v>
      </c>
    </row>
    <row r="565" spans="1:10" x14ac:dyDescent="0.2">
      <c r="A565" s="1" t="s">
        <v>3354</v>
      </c>
      <c r="B565" s="1" t="s">
        <v>3353</v>
      </c>
      <c r="C565" s="1" t="s">
        <v>3352</v>
      </c>
      <c r="D565" s="2" t="str">
        <f t="shared" si="8"/>
        <v>http://zfin.org/ZDB-GENE-040426-1938</v>
      </c>
      <c r="E565" s="1" t="s">
        <v>7536</v>
      </c>
      <c r="F565" s="3">
        <v>6.0445688400137297E-18</v>
      </c>
      <c r="G565" s="1">
        <v>-0.82785762579605204</v>
      </c>
      <c r="H565" s="1">
        <v>0.71099999999999997</v>
      </c>
      <c r="I565" s="1">
        <v>0.75</v>
      </c>
      <c r="J565" s="1">
        <v>2</v>
      </c>
    </row>
    <row r="566" spans="1:10" x14ac:dyDescent="0.2">
      <c r="A566" s="1" t="s">
        <v>2750</v>
      </c>
      <c r="B566" s="1" t="s">
        <v>2749</v>
      </c>
      <c r="C566" s="1" t="s">
        <v>2748</v>
      </c>
      <c r="D566" s="2" t="str">
        <f t="shared" si="8"/>
        <v>http://zfin.org/ZDB-GENE-061215-70</v>
      </c>
      <c r="E566" s="1" t="s">
        <v>7535</v>
      </c>
      <c r="F566" s="3">
        <v>1.4558603003423501E-6</v>
      </c>
      <c r="G566" s="1">
        <v>-0.82758647992539203</v>
      </c>
      <c r="H566" s="1">
        <v>0.41199999999999998</v>
      </c>
      <c r="I566" s="1">
        <v>0.63300000000000001</v>
      </c>
      <c r="J566" s="1">
        <v>2</v>
      </c>
    </row>
    <row r="567" spans="1:10" x14ac:dyDescent="0.2">
      <c r="A567" s="1" t="s">
        <v>7534</v>
      </c>
      <c r="B567" s="1" t="s">
        <v>7533</v>
      </c>
      <c r="C567" s="1" t="s">
        <v>7532</v>
      </c>
      <c r="D567" s="2" t="str">
        <f t="shared" si="8"/>
        <v>http://zfin.org/ZDB-GENE-030131-579</v>
      </c>
      <c r="E567" s="1" t="s">
        <v>7531</v>
      </c>
      <c r="F567" s="3">
        <v>1.145368560136E-12</v>
      </c>
      <c r="G567" s="1">
        <v>-0.82529930660775896</v>
      </c>
      <c r="H567" s="1">
        <v>0.36799999999999999</v>
      </c>
      <c r="I567" s="1">
        <v>0.65</v>
      </c>
      <c r="J567" s="1">
        <v>2</v>
      </c>
    </row>
    <row r="568" spans="1:10" x14ac:dyDescent="0.2">
      <c r="A568" s="1" t="s">
        <v>7530</v>
      </c>
      <c r="B568" s="1" t="s">
        <v>7529</v>
      </c>
      <c r="C568" s="1" t="s">
        <v>7528</v>
      </c>
      <c r="D568" s="2" t="str">
        <f t="shared" si="8"/>
        <v>http://zfin.org/ZDB-GENE-030131-5541</v>
      </c>
      <c r="E568" s="1" t="s">
        <v>7527</v>
      </c>
      <c r="F568" s="3">
        <v>1.10225206143278E-13</v>
      </c>
      <c r="G568" s="1">
        <v>-0.81996476446877997</v>
      </c>
      <c r="H568" s="1">
        <v>0.48199999999999998</v>
      </c>
      <c r="I568" s="1">
        <v>0.73299999999999998</v>
      </c>
      <c r="J568" s="1">
        <v>2</v>
      </c>
    </row>
    <row r="569" spans="1:10" x14ac:dyDescent="0.2">
      <c r="A569" s="1" t="s">
        <v>7526</v>
      </c>
      <c r="B569" s="1" t="s">
        <v>7525</v>
      </c>
      <c r="C569" s="1" t="s">
        <v>7524</v>
      </c>
      <c r="D569" s="2" t="str">
        <f t="shared" si="8"/>
        <v>http://zfin.org/ZDB-GENE-040912-105</v>
      </c>
      <c r="E569" s="1" t="s">
        <v>7523</v>
      </c>
      <c r="F569" s="3">
        <v>1.6559889463293901E-10</v>
      </c>
      <c r="G569" s="1">
        <v>-0.81881487763477601</v>
      </c>
      <c r="H569" s="1">
        <v>0.33300000000000002</v>
      </c>
      <c r="I569" s="1">
        <v>0.65</v>
      </c>
      <c r="J569" s="1">
        <v>2</v>
      </c>
    </row>
    <row r="570" spans="1:10" x14ac:dyDescent="0.2">
      <c r="A570" s="1" t="s">
        <v>7522</v>
      </c>
      <c r="B570" s="1" t="s">
        <v>7521</v>
      </c>
      <c r="C570" s="1" t="s">
        <v>7520</v>
      </c>
      <c r="D570" s="2" t="str">
        <f t="shared" si="8"/>
        <v>http://zfin.org/ZDB-GENE-040718-124</v>
      </c>
      <c r="E570" s="1" t="s">
        <v>7519</v>
      </c>
      <c r="F570" s="3">
        <v>9.5460500800682402E-11</v>
      </c>
      <c r="G570" s="1">
        <v>-0.81731047043330995</v>
      </c>
      <c r="H570" s="1">
        <v>0.219</v>
      </c>
      <c r="I570" s="1">
        <v>0.6</v>
      </c>
      <c r="J570" s="1">
        <v>2</v>
      </c>
    </row>
    <row r="571" spans="1:10" x14ac:dyDescent="0.2">
      <c r="A571" s="1" t="s">
        <v>304</v>
      </c>
      <c r="B571" s="1" t="s">
        <v>303</v>
      </c>
      <c r="C571" s="1" t="s">
        <v>305</v>
      </c>
      <c r="D571" s="2" t="str">
        <f t="shared" si="8"/>
        <v>http://zfin.org/ZDB-GENE-030131-2025</v>
      </c>
      <c r="E571" s="1" t="s">
        <v>7518</v>
      </c>
      <c r="F571" s="3">
        <v>3.7266778594866301E-19</v>
      </c>
      <c r="G571" s="1">
        <v>-0.81576951681945298</v>
      </c>
      <c r="H571" s="1">
        <v>1</v>
      </c>
      <c r="I571" s="1">
        <v>0.96699999999999997</v>
      </c>
      <c r="J571" s="1">
        <v>2</v>
      </c>
    </row>
    <row r="572" spans="1:10" x14ac:dyDescent="0.2">
      <c r="A572" s="1" t="s">
        <v>2513</v>
      </c>
      <c r="B572" s="1" t="s">
        <v>2512</v>
      </c>
      <c r="C572" s="1" t="s">
        <v>2511</v>
      </c>
      <c r="D572" s="2" t="str">
        <f t="shared" si="8"/>
        <v>http://zfin.org/ZDB-GENE-030131-2426</v>
      </c>
      <c r="E572" s="1" t="s">
        <v>7517</v>
      </c>
      <c r="F572" s="3">
        <v>2.76337603962532E-9</v>
      </c>
      <c r="G572" s="1">
        <v>-0.80680770070088803</v>
      </c>
      <c r="H572" s="1">
        <v>0.193</v>
      </c>
      <c r="I572" s="1">
        <v>0.55000000000000004</v>
      </c>
      <c r="J572" s="1">
        <v>2</v>
      </c>
    </row>
    <row r="573" spans="1:10" x14ac:dyDescent="0.2">
      <c r="A573" s="1" t="s">
        <v>7516</v>
      </c>
      <c r="B573" s="1" t="s">
        <v>7515</v>
      </c>
      <c r="C573" s="1" t="s">
        <v>7514</v>
      </c>
      <c r="D573" s="2" t="str">
        <f t="shared" si="8"/>
        <v>http://zfin.org/ZDB-GENE-040426-2832</v>
      </c>
      <c r="E573" s="1" t="s">
        <v>7513</v>
      </c>
      <c r="F573" s="3">
        <v>9.7203065247754697E-11</v>
      </c>
      <c r="G573" s="1">
        <v>-0.804744940841703</v>
      </c>
      <c r="H573" s="1">
        <v>0.184</v>
      </c>
      <c r="I573" s="1">
        <v>0.55000000000000004</v>
      </c>
      <c r="J573" s="1">
        <v>2</v>
      </c>
    </row>
    <row r="574" spans="1:10" x14ac:dyDescent="0.2">
      <c r="A574" s="1" t="s">
        <v>904</v>
      </c>
      <c r="B574" s="1" t="s">
        <v>839</v>
      </c>
      <c r="C574" s="1" t="s">
        <v>838</v>
      </c>
      <c r="D574" s="2" t="str">
        <f t="shared" si="8"/>
        <v>http://zfin.org/ZDB-GENE-040426-1928</v>
      </c>
      <c r="E574" s="1" t="s">
        <v>7512</v>
      </c>
      <c r="F574" s="3">
        <v>2.2186677147048701E-18</v>
      </c>
      <c r="G574" s="1">
        <v>-0.80310188386119796</v>
      </c>
      <c r="H574" s="1">
        <v>0.91200000000000003</v>
      </c>
      <c r="I574" s="1">
        <v>0.96699999999999997</v>
      </c>
      <c r="J574" s="1">
        <v>2</v>
      </c>
    </row>
    <row r="575" spans="1:10" x14ac:dyDescent="0.2">
      <c r="A575" s="1" t="s">
        <v>873</v>
      </c>
      <c r="B575" s="1" t="s">
        <v>872</v>
      </c>
      <c r="C575" s="1" t="s">
        <v>871</v>
      </c>
      <c r="D575" s="2" t="str">
        <f t="shared" si="8"/>
        <v>http://zfin.org/ZDB-GENE-000629-1</v>
      </c>
      <c r="E575" s="1" t="s">
        <v>7511</v>
      </c>
      <c r="F575" s="3">
        <v>1.32910361325244E-15</v>
      </c>
      <c r="G575" s="1">
        <v>-0.80304754683510604</v>
      </c>
      <c r="H575" s="1">
        <v>0.96499999999999997</v>
      </c>
      <c r="I575" s="1">
        <v>0.95</v>
      </c>
      <c r="J575" s="1">
        <v>2</v>
      </c>
    </row>
    <row r="576" spans="1:10" x14ac:dyDescent="0.2">
      <c r="A576" s="1" t="s">
        <v>2474</v>
      </c>
      <c r="B576" s="1" t="s">
        <v>2473</v>
      </c>
      <c r="C576" s="1" t="s">
        <v>2472</v>
      </c>
      <c r="D576" s="2" t="str">
        <f t="shared" si="8"/>
        <v>http://zfin.org/ZDB-GENE-030131-7275</v>
      </c>
      <c r="E576" s="1" t="s">
        <v>7510</v>
      </c>
      <c r="F576" s="3">
        <v>1.1292062301219499E-19</v>
      </c>
      <c r="G576" s="1">
        <v>-0.80153443813942904</v>
      </c>
      <c r="H576" s="1">
        <v>0.93</v>
      </c>
      <c r="I576" s="1">
        <v>0.86699999999999999</v>
      </c>
      <c r="J576" s="1">
        <v>2</v>
      </c>
    </row>
    <row r="577" spans="1:10" x14ac:dyDescent="0.2">
      <c r="A577" s="1" t="s">
        <v>7509</v>
      </c>
      <c r="B577" s="1" t="s">
        <v>7508</v>
      </c>
      <c r="C577" s="1" t="s">
        <v>7507</v>
      </c>
      <c r="D577" s="2" t="str">
        <f t="shared" si="8"/>
        <v>http://zfin.org/ZDB-GENE-050208-747</v>
      </c>
      <c r="E577" s="1" t="s">
        <v>7506</v>
      </c>
      <c r="F577" s="3">
        <v>3.8642263188205803E-11</v>
      </c>
      <c r="G577" s="1">
        <v>-0.79736244786988097</v>
      </c>
      <c r="H577" s="1">
        <v>0.158</v>
      </c>
      <c r="I577" s="1">
        <v>0.5</v>
      </c>
      <c r="J577" s="1">
        <v>2</v>
      </c>
    </row>
    <row r="578" spans="1:10" x14ac:dyDescent="0.2">
      <c r="A578" s="1" t="s">
        <v>943</v>
      </c>
      <c r="B578" s="1" t="s">
        <v>942</v>
      </c>
      <c r="C578" s="1" t="s">
        <v>941</v>
      </c>
      <c r="D578" s="2" t="str">
        <f t="shared" ref="D578:D641" si="9">HYPERLINK(E578)</f>
        <v>http://zfin.org/ZDB-GENE-030131-9092</v>
      </c>
      <c r="E578" s="1" t="s">
        <v>7505</v>
      </c>
      <c r="F578" s="3">
        <v>8.34950236700903E-20</v>
      </c>
      <c r="G578" s="1">
        <v>-0.79727525146927603</v>
      </c>
      <c r="H578" s="1">
        <v>0.98199999999999998</v>
      </c>
      <c r="I578" s="1">
        <v>0.98299999999999998</v>
      </c>
      <c r="J578" s="1">
        <v>2</v>
      </c>
    </row>
    <row r="579" spans="1:10" x14ac:dyDescent="0.2">
      <c r="A579" s="1" t="s">
        <v>894</v>
      </c>
      <c r="B579" s="1" t="s">
        <v>893</v>
      </c>
      <c r="C579" s="1" t="s">
        <v>892</v>
      </c>
      <c r="D579" s="2" t="str">
        <f t="shared" si="9"/>
        <v>http://zfin.org/ZDB-GENE-990415-89</v>
      </c>
      <c r="E579" s="1" t="s">
        <v>7504</v>
      </c>
      <c r="F579" s="3">
        <v>1.8359504111451098E-15</v>
      </c>
      <c r="G579" s="1">
        <v>-0.79718526795991296</v>
      </c>
      <c r="H579" s="1">
        <v>0.93899999999999995</v>
      </c>
      <c r="I579" s="1">
        <v>0.98299999999999998</v>
      </c>
      <c r="J579" s="1">
        <v>2</v>
      </c>
    </row>
    <row r="580" spans="1:10" x14ac:dyDescent="0.2">
      <c r="A580" s="1" t="s">
        <v>7503</v>
      </c>
      <c r="B580" s="1" t="s">
        <v>7502</v>
      </c>
      <c r="C580" s="1" t="s">
        <v>7501</v>
      </c>
      <c r="D580" s="2" t="str">
        <f t="shared" si="9"/>
        <v>http://zfin.org/ZDB-GENE-040718-181</v>
      </c>
      <c r="E580" s="1" t="s">
        <v>7500</v>
      </c>
      <c r="F580" s="3">
        <v>6.8618873115775204E-12</v>
      </c>
      <c r="G580" s="1">
        <v>-0.79621425532921597</v>
      </c>
      <c r="H580" s="1">
        <v>0.32500000000000001</v>
      </c>
      <c r="I580" s="1">
        <v>0.65</v>
      </c>
      <c r="J580" s="1">
        <v>2</v>
      </c>
    </row>
    <row r="581" spans="1:10" x14ac:dyDescent="0.2">
      <c r="A581" s="1" t="s">
        <v>4247</v>
      </c>
      <c r="B581" s="1" t="s">
        <v>4246</v>
      </c>
      <c r="C581" s="1" t="s">
        <v>4245</v>
      </c>
      <c r="D581" s="2" t="str">
        <f t="shared" si="9"/>
        <v>http://zfin.org/ZDB-GENE-050417-333</v>
      </c>
      <c r="E581" s="1" t="s">
        <v>7499</v>
      </c>
      <c r="F581" s="3">
        <v>6.04090276264628E-15</v>
      </c>
      <c r="G581" s="1">
        <v>-0.79590492816960901</v>
      </c>
      <c r="H581" s="1">
        <v>0.64900000000000002</v>
      </c>
      <c r="I581" s="1">
        <v>0.83299999999999996</v>
      </c>
      <c r="J581" s="1">
        <v>2</v>
      </c>
    </row>
    <row r="582" spans="1:10" x14ac:dyDescent="0.2">
      <c r="A582" s="1" t="s">
        <v>7498</v>
      </c>
      <c r="B582" s="1" t="s">
        <v>7497</v>
      </c>
      <c r="C582" s="1" t="s">
        <v>7496</v>
      </c>
      <c r="D582" s="2" t="str">
        <f t="shared" si="9"/>
        <v>http://zfin.org/ZDB-GENE-021219-3</v>
      </c>
      <c r="E582" s="1" t="s">
        <v>7495</v>
      </c>
      <c r="F582" s="3">
        <v>2.9329821410937199E-11</v>
      </c>
      <c r="G582" s="1">
        <v>-0.79477134994934195</v>
      </c>
      <c r="H582" s="1">
        <v>0.36</v>
      </c>
      <c r="I582" s="1">
        <v>0.6</v>
      </c>
      <c r="J582" s="1">
        <v>2</v>
      </c>
    </row>
    <row r="583" spans="1:10" x14ac:dyDescent="0.2">
      <c r="A583" s="1" t="s">
        <v>7494</v>
      </c>
      <c r="B583" s="1" t="s">
        <v>7493</v>
      </c>
      <c r="C583" s="1" t="s">
        <v>7492</v>
      </c>
      <c r="D583" s="2" t="str">
        <f t="shared" si="9"/>
        <v>http://zfin.org/ZDB-GENE-020326-1</v>
      </c>
      <c r="E583" s="1" t="s">
        <v>7491</v>
      </c>
      <c r="F583" s="3">
        <v>1.0224076018993201E-12</v>
      </c>
      <c r="G583" s="1">
        <v>-0.79215121177227099</v>
      </c>
      <c r="H583" s="1">
        <v>0.50900000000000001</v>
      </c>
      <c r="I583" s="1">
        <v>0.7</v>
      </c>
      <c r="J583" s="1">
        <v>2</v>
      </c>
    </row>
    <row r="584" spans="1:10" x14ac:dyDescent="0.2">
      <c r="A584" s="1" t="s">
        <v>7490</v>
      </c>
      <c r="B584" s="1" t="s">
        <v>7489</v>
      </c>
      <c r="C584" s="1" t="s">
        <v>7488</v>
      </c>
      <c r="D584" s="2" t="str">
        <f t="shared" si="9"/>
        <v>http://zfin.org/ZDB-GENE-050913-120</v>
      </c>
      <c r="E584" s="1" t="s">
        <v>7487</v>
      </c>
      <c r="F584" s="3">
        <v>8.3920315875267802E-16</v>
      </c>
      <c r="G584" s="1">
        <v>-0.79164670034971996</v>
      </c>
      <c r="H584" s="1">
        <v>0.78900000000000003</v>
      </c>
      <c r="I584" s="1">
        <v>0.83299999999999996</v>
      </c>
      <c r="J584" s="1">
        <v>2</v>
      </c>
    </row>
    <row r="585" spans="1:10" x14ac:dyDescent="0.2">
      <c r="A585" s="1" t="s">
        <v>1000</v>
      </c>
      <c r="B585" s="1" t="s">
        <v>999</v>
      </c>
      <c r="C585" s="1" t="s">
        <v>998</v>
      </c>
      <c r="D585" s="2" t="str">
        <f t="shared" si="9"/>
        <v>http://zfin.org/ZDB-GENE-040426-1071</v>
      </c>
      <c r="E585" s="1" t="s">
        <v>7486</v>
      </c>
      <c r="F585" s="3">
        <v>2.5347070507760099E-23</v>
      </c>
      <c r="G585" s="1">
        <v>-0.790588073950651</v>
      </c>
      <c r="H585" s="1">
        <v>1</v>
      </c>
      <c r="I585" s="1">
        <v>0.98299999999999998</v>
      </c>
      <c r="J585" s="1">
        <v>2</v>
      </c>
    </row>
    <row r="586" spans="1:10" x14ac:dyDescent="0.2">
      <c r="A586" s="1" t="s">
        <v>2711</v>
      </c>
      <c r="B586" s="1" t="s">
        <v>2710</v>
      </c>
      <c r="C586" s="1" t="s">
        <v>2709</v>
      </c>
      <c r="D586" s="2" t="str">
        <f t="shared" si="9"/>
        <v>http://zfin.org/ZDB-GENE-030131-8398</v>
      </c>
      <c r="E586" s="1" t="s">
        <v>7485</v>
      </c>
      <c r="F586" s="3">
        <v>2.7946907929345298E-8</v>
      </c>
      <c r="G586" s="1">
        <v>-0.78989969135674998</v>
      </c>
      <c r="H586" s="1">
        <v>0.32500000000000001</v>
      </c>
      <c r="I586" s="1">
        <v>0.5</v>
      </c>
      <c r="J586" s="1">
        <v>2</v>
      </c>
    </row>
    <row r="587" spans="1:10" x14ac:dyDescent="0.2">
      <c r="A587" s="1" t="s">
        <v>7484</v>
      </c>
      <c r="B587" s="1" t="s">
        <v>7483</v>
      </c>
      <c r="C587" s="1" t="s">
        <v>7482</v>
      </c>
      <c r="D587" s="2" t="str">
        <f t="shared" si="9"/>
        <v>http://zfin.org/ZDB-GENE-050419-195</v>
      </c>
      <c r="E587" s="1" t="s">
        <v>7481</v>
      </c>
      <c r="F587" s="3">
        <v>9.2283052371123404E-14</v>
      </c>
      <c r="G587" s="1">
        <v>-0.78834135152961604</v>
      </c>
      <c r="H587" s="1">
        <v>0.45600000000000002</v>
      </c>
      <c r="I587" s="1">
        <v>0.71699999999999997</v>
      </c>
      <c r="J587" s="1">
        <v>2</v>
      </c>
    </row>
    <row r="588" spans="1:10" x14ac:dyDescent="0.2">
      <c r="A588" s="1" t="s">
        <v>2971</v>
      </c>
      <c r="B588" s="1" t="s">
        <v>2970</v>
      </c>
      <c r="C588" s="1" t="s">
        <v>2969</v>
      </c>
      <c r="D588" s="2" t="str">
        <f t="shared" si="9"/>
        <v>http://zfin.org/ZDB-GENE-141212-262</v>
      </c>
      <c r="E588" s="1" t="s">
        <v>7480</v>
      </c>
      <c r="F588" s="3">
        <v>4.76039361093843E-8</v>
      </c>
      <c r="G588" s="1">
        <v>-0.787575410905484</v>
      </c>
      <c r="H588" s="1">
        <v>0.193</v>
      </c>
      <c r="I588" s="1">
        <v>0.53300000000000003</v>
      </c>
      <c r="J588" s="1">
        <v>2</v>
      </c>
    </row>
    <row r="589" spans="1:10" x14ac:dyDescent="0.2">
      <c r="A589" s="1" t="s">
        <v>7479</v>
      </c>
      <c r="B589" s="1" t="s">
        <v>7478</v>
      </c>
      <c r="C589" s="1" t="s">
        <v>7477</v>
      </c>
      <c r="D589" s="2" t="str">
        <f t="shared" si="9"/>
        <v>http://zfin.org/ZDB-GENE-040426-2229</v>
      </c>
      <c r="E589" s="1" t="s">
        <v>7476</v>
      </c>
      <c r="F589" s="3">
        <v>2.43670925238597E-15</v>
      </c>
      <c r="G589" s="1">
        <v>-0.78723583373954398</v>
      </c>
      <c r="H589" s="1">
        <v>0.65800000000000003</v>
      </c>
      <c r="I589" s="1">
        <v>0.73299999999999998</v>
      </c>
      <c r="J589" s="1">
        <v>2</v>
      </c>
    </row>
    <row r="590" spans="1:10" x14ac:dyDescent="0.2">
      <c r="A590" s="1" t="s">
        <v>7475</v>
      </c>
      <c r="B590" s="1" t="s">
        <v>7474</v>
      </c>
      <c r="C590" s="1" t="s">
        <v>7473</v>
      </c>
      <c r="D590" s="2" t="str">
        <f t="shared" si="9"/>
        <v>http://zfin.org/ZDB-GENE-040801-250</v>
      </c>
      <c r="E590" s="1" t="s">
        <v>7472</v>
      </c>
      <c r="F590" s="3">
        <v>3.44490573220832E-10</v>
      </c>
      <c r="G590" s="1">
        <v>-0.785936968965532</v>
      </c>
      <c r="H590" s="1">
        <v>0.56100000000000005</v>
      </c>
      <c r="I590" s="1">
        <v>0.76700000000000002</v>
      </c>
      <c r="J590" s="1">
        <v>2</v>
      </c>
    </row>
    <row r="591" spans="1:10" x14ac:dyDescent="0.2">
      <c r="A591" s="1" t="s">
        <v>26</v>
      </c>
      <c r="B591" s="1" t="s">
        <v>25</v>
      </c>
      <c r="C591" s="1" t="s">
        <v>27</v>
      </c>
      <c r="D591" s="2" t="str">
        <f t="shared" si="9"/>
        <v>http://zfin.org/ZDB-GENE-040426-2209</v>
      </c>
      <c r="E591" s="1" t="s">
        <v>7471</v>
      </c>
      <c r="F591" s="3">
        <v>4.47528586282127E-12</v>
      </c>
      <c r="G591" s="1">
        <v>-0.78425996694181899</v>
      </c>
      <c r="H591" s="1">
        <v>0.97399999999999998</v>
      </c>
      <c r="I591" s="1">
        <v>0.96699999999999997</v>
      </c>
      <c r="J591" s="1">
        <v>2</v>
      </c>
    </row>
    <row r="592" spans="1:10" x14ac:dyDescent="0.2">
      <c r="A592" s="1" t="s">
        <v>922</v>
      </c>
      <c r="B592" s="1" t="s">
        <v>921</v>
      </c>
      <c r="C592" s="1" t="s">
        <v>920</v>
      </c>
      <c r="D592" s="2" t="str">
        <f t="shared" si="9"/>
        <v>http://zfin.org/ZDB-GENE-030131-8657</v>
      </c>
      <c r="E592" s="1" t="s">
        <v>7470</v>
      </c>
      <c r="F592" s="3">
        <v>4.8714694906798103E-18</v>
      </c>
      <c r="G592" s="1">
        <v>-0.77831194380782698</v>
      </c>
      <c r="H592" s="1">
        <v>0.99099999999999999</v>
      </c>
      <c r="I592" s="1">
        <v>0.98299999999999998</v>
      </c>
      <c r="J592" s="1">
        <v>2</v>
      </c>
    </row>
    <row r="593" spans="1:10" x14ac:dyDescent="0.2">
      <c r="A593" s="1" t="s">
        <v>7469</v>
      </c>
      <c r="B593" s="1" t="s">
        <v>7468</v>
      </c>
      <c r="C593" s="1" t="s">
        <v>7467</v>
      </c>
      <c r="D593" s="2" t="str">
        <f t="shared" si="9"/>
        <v>http://zfin.org/ZDB-GENE-040426-1679</v>
      </c>
      <c r="E593" s="1" t="s">
        <v>7466</v>
      </c>
      <c r="F593" s="3">
        <v>1.06870150471156E-11</v>
      </c>
      <c r="G593" s="1">
        <v>-0.77532195340302001</v>
      </c>
      <c r="H593" s="1">
        <v>0.58799999999999997</v>
      </c>
      <c r="I593" s="1">
        <v>0.83299999999999996</v>
      </c>
      <c r="J593" s="1">
        <v>2</v>
      </c>
    </row>
    <row r="594" spans="1:10" x14ac:dyDescent="0.2">
      <c r="A594" s="1" t="s">
        <v>7465</v>
      </c>
      <c r="B594" s="1" t="s">
        <v>7464</v>
      </c>
      <c r="C594" s="1" t="s">
        <v>7463</v>
      </c>
      <c r="D594" s="2" t="str">
        <f t="shared" si="9"/>
        <v>http://zfin.org/ZDB-GENE-050522-161</v>
      </c>
      <c r="E594" s="1" t="s">
        <v>7462</v>
      </c>
      <c r="F594" s="3">
        <v>3.2308265223220502E-9</v>
      </c>
      <c r="G594" s="1">
        <v>-0.77515307831300795</v>
      </c>
      <c r="H594" s="1">
        <v>0.17499999999999999</v>
      </c>
      <c r="I594" s="1">
        <v>0.5</v>
      </c>
      <c r="J594" s="1">
        <v>2</v>
      </c>
    </row>
    <row r="595" spans="1:10" x14ac:dyDescent="0.2">
      <c r="A595" s="1" t="s">
        <v>879</v>
      </c>
      <c r="B595" s="1" t="s">
        <v>878</v>
      </c>
      <c r="C595" s="1" t="s">
        <v>877</v>
      </c>
      <c r="D595" s="2" t="str">
        <f t="shared" si="9"/>
        <v>http://zfin.org/ZDB-GENE-030131-168</v>
      </c>
      <c r="E595" s="1" t="s">
        <v>7461</v>
      </c>
      <c r="F595" s="3">
        <v>9.2029198400842204E-18</v>
      </c>
      <c r="G595" s="1">
        <v>-0.77385438450841504</v>
      </c>
      <c r="H595" s="1">
        <v>0.84199999999999997</v>
      </c>
      <c r="I595" s="1">
        <v>0.91700000000000004</v>
      </c>
      <c r="J595" s="1">
        <v>2</v>
      </c>
    </row>
    <row r="596" spans="1:10" x14ac:dyDescent="0.2">
      <c r="A596" s="1" t="s">
        <v>7460</v>
      </c>
      <c r="B596" s="1" t="s">
        <v>7459</v>
      </c>
      <c r="C596" s="1" t="s">
        <v>7458</v>
      </c>
      <c r="D596" s="2" t="str">
        <f t="shared" si="9"/>
        <v>http://zfin.org/ZDB-GENE-030131-9966</v>
      </c>
      <c r="E596" s="1" t="s">
        <v>7457</v>
      </c>
      <c r="F596" s="3">
        <v>7.3132036611418303E-9</v>
      </c>
      <c r="G596" s="1">
        <v>-0.76255340321656495</v>
      </c>
      <c r="H596" s="1">
        <v>0.316</v>
      </c>
      <c r="I596" s="1">
        <v>0.6</v>
      </c>
      <c r="J596" s="1">
        <v>2</v>
      </c>
    </row>
    <row r="597" spans="1:10" x14ac:dyDescent="0.2">
      <c r="A597" s="1" t="s">
        <v>7456</v>
      </c>
      <c r="B597" s="1" t="s">
        <v>7455</v>
      </c>
      <c r="C597" s="1" t="s">
        <v>7454</v>
      </c>
      <c r="D597" s="2" t="str">
        <f t="shared" si="9"/>
        <v>http://zfin.org/ZDB-GENE-030131-215</v>
      </c>
      <c r="E597" s="1" t="s">
        <v>7453</v>
      </c>
      <c r="F597" s="3">
        <v>6.8768060253660305E-10</v>
      </c>
      <c r="G597" s="1">
        <v>-0.76247380546524601</v>
      </c>
      <c r="H597" s="1">
        <v>0.86</v>
      </c>
      <c r="I597" s="1">
        <v>0.86699999999999999</v>
      </c>
      <c r="J597" s="1">
        <v>2</v>
      </c>
    </row>
    <row r="598" spans="1:10" x14ac:dyDescent="0.2">
      <c r="A598" s="1" t="s">
        <v>7452</v>
      </c>
      <c r="B598" s="1" t="s">
        <v>7451</v>
      </c>
      <c r="C598" s="1" t="s">
        <v>7450</v>
      </c>
      <c r="D598" s="2" t="str">
        <f t="shared" si="9"/>
        <v>http://zfin.org/ZDB-GENE-030131-617</v>
      </c>
      <c r="E598" s="1" t="s">
        <v>7449</v>
      </c>
      <c r="F598" s="3">
        <v>8.6218861833179404E-8</v>
      </c>
      <c r="G598" s="1">
        <v>-0.76222865745131196</v>
      </c>
      <c r="H598" s="1">
        <v>0.219</v>
      </c>
      <c r="I598" s="1">
        <v>0.56699999999999995</v>
      </c>
      <c r="J598" s="1">
        <v>2</v>
      </c>
    </row>
    <row r="599" spans="1:10" x14ac:dyDescent="0.2">
      <c r="A599" s="1" t="s">
        <v>7448</v>
      </c>
      <c r="B599" s="1" t="s">
        <v>7447</v>
      </c>
      <c r="C599" s="1" t="s">
        <v>7446</v>
      </c>
      <c r="D599" s="2" t="str">
        <f t="shared" si="9"/>
        <v>http://zfin.org/ZDB-GENE-070410-36</v>
      </c>
      <c r="E599" s="1" t="s">
        <v>7445</v>
      </c>
      <c r="F599" s="3">
        <v>3.7302598254683801E-9</v>
      </c>
      <c r="G599" s="1">
        <v>-0.76063643365547995</v>
      </c>
      <c r="H599" s="1">
        <v>0.61399999999999999</v>
      </c>
      <c r="I599" s="1">
        <v>0.81699999999999995</v>
      </c>
      <c r="J599" s="1">
        <v>2</v>
      </c>
    </row>
    <row r="600" spans="1:10" x14ac:dyDescent="0.2">
      <c r="A600" s="1" t="s">
        <v>988</v>
      </c>
      <c r="B600" s="1" t="s">
        <v>987</v>
      </c>
      <c r="C600" s="1" t="s">
        <v>986</v>
      </c>
      <c r="D600" s="2" t="str">
        <f t="shared" si="9"/>
        <v>http://zfin.org/ZDB-GENE-060331-105</v>
      </c>
      <c r="E600" s="1" t="s">
        <v>7444</v>
      </c>
      <c r="F600" s="3">
        <v>3.2885366646729601E-24</v>
      </c>
      <c r="G600" s="1">
        <v>-0.75859633514936498</v>
      </c>
      <c r="H600" s="1">
        <v>1</v>
      </c>
      <c r="I600" s="1">
        <v>1</v>
      </c>
      <c r="J600" s="1">
        <v>2</v>
      </c>
    </row>
    <row r="601" spans="1:10" x14ac:dyDescent="0.2">
      <c r="A601" s="1" t="s">
        <v>7443</v>
      </c>
      <c r="B601" s="1" t="s">
        <v>7442</v>
      </c>
      <c r="C601" s="1" t="s">
        <v>7441</v>
      </c>
      <c r="D601" s="2" t="str">
        <f t="shared" si="9"/>
        <v>http://zfin.org/ZDB-GENE-040426-1798</v>
      </c>
      <c r="E601" s="1" t="s">
        <v>7440</v>
      </c>
      <c r="F601" s="3">
        <v>1.18174755806986E-14</v>
      </c>
      <c r="G601" s="1">
        <v>-0.75783578746520697</v>
      </c>
      <c r="H601" s="1">
        <v>0.48199999999999998</v>
      </c>
      <c r="I601" s="1">
        <v>0.65</v>
      </c>
      <c r="J601" s="1">
        <v>2</v>
      </c>
    </row>
    <row r="602" spans="1:10" x14ac:dyDescent="0.2">
      <c r="A602" s="1" t="s">
        <v>891</v>
      </c>
      <c r="B602" s="1" t="s">
        <v>890</v>
      </c>
      <c r="C602" s="1" t="s">
        <v>889</v>
      </c>
      <c r="D602" s="2" t="str">
        <f t="shared" si="9"/>
        <v>http://zfin.org/ZDB-GENE-050320-15</v>
      </c>
      <c r="E602" s="1" t="s">
        <v>7439</v>
      </c>
      <c r="F602" s="3">
        <v>1.7055618948619601E-16</v>
      </c>
      <c r="G602" s="1">
        <v>-0.75591918512491096</v>
      </c>
      <c r="H602" s="1">
        <v>0.96499999999999997</v>
      </c>
      <c r="I602" s="1">
        <v>0.96699999999999997</v>
      </c>
      <c r="J602" s="1">
        <v>2</v>
      </c>
    </row>
    <row r="603" spans="1:10" x14ac:dyDescent="0.2">
      <c r="A603" s="1" t="s">
        <v>4173</v>
      </c>
      <c r="B603" s="1" t="s">
        <v>4172</v>
      </c>
      <c r="C603" s="1" t="s">
        <v>4171</v>
      </c>
      <c r="D603" s="2" t="str">
        <f t="shared" si="9"/>
        <v>http://zfin.org/ZDB-GENE-040426-1004</v>
      </c>
      <c r="E603" s="1" t="s">
        <v>7438</v>
      </c>
      <c r="F603" s="3">
        <v>1.88328421841548E-11</v>
      </c>
      <c r="G603" s="1">
        <v>-0.75360801114241105</v>
      </c>
      <c r="H603" s="1">
        <v>0.47399999999999998</v>
      </c>
      <c r="I603" s="1">
        <v>0.68300000000000005</v>
      </c>
      <c r="J603" s="1">
        <v>2</v>
      </c>
    </row>
    <row r="604" spans="1:10" x14ac:dyDescent="0.2">
      <c r="A604" s="1" t="s">
        <v>855</v>
      </c>
      <c r="B604" s="1" t="s">
        <v>854</v>
      </c>
      <c r="C604" s="1" t="s">
        <v>853</v>
      </c>
      <c r="D604" s="2" t="str">
        <f t="shared" si="9"/>
        <v>http://zfin.org/ZDB-GENE-030131-7310</v>
      </c>
      <c r="E604" s="1" t="s">
        <v>7437</v>
      </c>
      <c r="F604" s="3">
        <v>5.3636831209604905E-23</v>
      </c>
      <c r="G604" s="1">
        <v>-0.75276219518609899</v>
      </c>
      <c r="H604" s="1">
        <v>0.93</v>
      </c>
      <c r="I604" s="1">
        <v>0.88300000000000001</v>
      </c>
      <c r="J604" s="1">
        <v>2</v>
      </c>
    </row>
    <row r="605" spans="1:10" x14ac:dyDescent="0.2">
      <c r="A605" s="1" t="s">
        <v>1474</v>
      </c>
      <c r="B605" s="1" t="s">
        <v>1473</v>
      </c>
      <c r="C605" s="1" t="s">
        <v>1472</v>
      </c>
      <c r="D605" s="2" t="str">
        <f t="shared" si="9"/>
        <v>http://zfin.org/ZDB-GENE-080917-47</v>
      </c>
      <c r="E605" s="1" t="s">
        <v>7436</v>
      </c>
      <c r="F605" s="3">
        <v>1.6527982378416901E-9</v>
      </c>
      <c r="G605" s="1">
        <v>-0.75099456066042802</v>
      </c>
      <c r="H605" s="1">
        <v>0.36799999999999999</v>
      </c>
      <c r="I605" s="1">
        <v>0.4</v>
      </c>
      <c r="J605" s="1">
        <v>2</v>
      </c>
    </row>
    <row r="606" spans="1:10" x14ac:dyDescent="0.2">
      <c r="A606" s="1" t="s">
        <v>7435</v>
      </c>
      <c r="B606" s="1" t="s">
        <v>7434</v>
      </c>
      <c r="C606" s="1" t="s">
        <v>7433</v>
      </c>
      <c r="D606" s="2" t="str">
        <f t="shared" si="9"/>
        <v>http://zfin.org/ZDB-GENE-030131-1158</v>
      </c>
      <c r="E606" s="1" t="s">
        <v>7432</v>
      </c>
      <c r="F606" s="3">
        <v>2.1230985826997499E-11</v>
      </c>
      <c r="G606" s="1">
        <v>-0.75048965846598303</v>
      </c>
      <c r="H606" s="1">
        <v>0.33300000000000002</v>
      </c>
      <c r="I606" s="1">
        <v>0.58299999999999996</v>
      </c>
      <c r="J606" s="1">
        <v>2</v>
      </c>
    </row>
    <row r="607" spans="1:10" x14ac:dyDescent="0.2">
      <c r="A607" s="1" t="s">
        <v>7431</v>
      </c>
      <c r="B607" s="1" t="s">
        <v>7430</v>
      </c>
      <c r="C607" s="1" t="s">
        <v>7429</v>
      </c>
      <c r="D607" s="2" t="str">
        <f t="shared" si="9"/>
        <v>http://zfin.org/ZDB-GENE-030131-3932</v>
      </c>
      <c r="E607" s="1" t="s">
        <v>7428</v>
      </c>
      <c r="F607" s="3">
        <v>4.0778176198105604E-9</v>
      </c>
      <c r="G607" s="1">
        <v>-0.74713283961677202</v>
      </c>
      <c r="H607" s="1">
        <v>0.34200000000000003</v>
      </c>
      <c r="I607" s="1">
        <v>0.58299999999999996</v>
      </c>
      <c r="J607" s="1">
        <v>2</v>
      </c>
    </row>
    <row r="608" spans="1:10" x14ac:dyDescent="0.2">
      <c r="A608" s="1" t="s">
        <v>7427</v>
      </c>
      <c r="B608" s="1" t="s">
        <v>7426</v>
      </c>
      <c r="C608" s="1" t="s">
        <v>7425</v>
      </c>
      <c r="D608" s="2" t="str">
        <f t="shared" si="9"/>
        <v>http://zfin.org/ZDB-GENE-030131-8581</v>
      </c>
      <c r="E608" s="1" t="s">
        <v>7424</v>
      </c>
      <c r="F608" s="3">
        <v>1.45793498775391E-10</v>
      </c>
      <c r="G608" s="1">
        <v>-0.74487017219614204</v>
      </c>
      <c r="H608" s="1">
        <v>0.81599999999999995</v>
      </c>
      <c r="I608" s="1">
        <v>0.86699999999999999</v>
      </c>
      <c r="J608" s="1">
        <v>2</v>
      </c>
    </row>
    <row r="609" spans="1:10" x14ac:dyDescent="0.2">
      <c r="A609" s="1" t="s">
        <v>2753</v>
      </c>
      <c r="B609" s="1" t="s">
        <v>2752</v>
      </c>
      <c r="C609" s="1" t="s">
        <v>2751</v>
      </c>
      <c r="D609" s="2" t="str">
        <f t="shared" si="9"/>
        <v>http://zfin.org/ZDB-GENE-040426-1725</v>
      </c>
      <c r="E609" s="1" t="s">
        <v>7423</v>
      </c>
      <c r="F609" s="3">
        <v>9.7162864133163206E-13</v>
      </c>
      <c r="G609" s="1">
        <v>-0.742119256443593</v>
      </c>
      <c r="H609" s="1">
        <v>0.33300000000000002</v>
      </c>
      <c r="I609" s="1">
        <v>0.55000000000000004</v>
      </c>
      <c r="J609" s="1">
        <v>2</v>
      </c>
    </row>
    <row r="610" spans="1:10" x14ac:dyDescent="0.2">
      <c r="A610" s="1" t="s">
        <v>940</v>
      </c>
      <c r="B610" s="1" t="s">
        <v>939</v>
      </c>
      <c r="C610" s="1" t="s">
        <v>938</v>
      </c>
      <c r="D610" s="2" t="str">
        <f t="shared" si="9"/>
        <v>http://zfin.org/ZDB-GENE-040426-2454</v>
      </c>
      <c r="E610" s="1" t="s">
        <v>7422</v>
      </c>
      <c r="F610" s="3">
        <v>1.6180358993026199E-17</v>
      </c>
      <c r="G610" s="1">
        <v>-0.74066304004253203</v>
      </c>
      <c r="H610" s="1">
        <v>0.99099999999999999</v>
      </c>
      <c r="I610" s="1">
        <v>0.98299999999999998</v>
      </c>
      <c r="J610" s="1">
        <v>2</v>
      </c>
    </row>
    <row r="611" spans="1:10" x14ac:dyDescent="0.2">
      <c r="A611" s="1" t="s">
        <v>7421</v>
      </c>
      <c r="B611" s="1" t="s">
        <v>7420</v>
      </c>
      <c r="D611" s="2" t="str">
        <f t="shared" si="9"/>
        <v>http://zfin.org/</v>
      </c>
      <c r="E611" s="1" t="s">
        <v>4625</v>
      </c>
      <c r="F611" s="3">
        <v>2.3035809012075501E-13</v>
      </c>
      <c r="G611" s="1">
        <v>-0.74025449439685698</v>
      </c>
      <c r="H611" s="1">
        <v>0.66700000000000004</v>
      </c>
      <c r="I611" s="1">
        <v>0.81699999999999995</v>
      </c>
      <c r="J611" s="1">
        <v>2</v>
      </c>
    </row>
    <row r="612" spans="1:10" x14ac:dyDescent="0.2">
      <c r="A612" s="1" t="s">
        <v>1468</v>
      </c>
      <c r="B612" s="1" t="s">
        <v>1467</v>
      </c>
      <c r="C612" s="1" t="s">
        <v>1466</v>
      </c>
      <c r="D612" s="2" t="str">
        <f t="shared" si="9"/>
        <v>http://zfin.org/ZDB-GENE-050417-338</v>
      </c>
      <c r="E612" s="1" t="s">
        <v>7419</v>
      </c>
      <c r="F612" s="3">
        <v>6.4120622983262697E-12</v>
      </c>
      <c r="G612" s="1">
        <v>-0.73882412688165</v>
      </c>
      <c r="H612" s="1">
        <v>0.71899999999999997</v>
      </c>
      <c r="I612" s="1">
        <v>0.81699999999999995</v>
      </c>
      <c r="J612" s="1">
        <v>2</v>
      </c>
    </row>
    <row r="613" spans="1:10" x14ac:dyDescent="0.2">
      <c r="A613" s="1" t="s">
        <v>7418</v>
      </c>
      <c r="B613" s="1" t="s">
        <v>7417</v>
      </c>
      <c r="C613" s="1" t="s">
        <v>7416</v>
      </c>
      <c r="D613" s="2" t="str">
        <f t="shared" si="9"/>
        <v>http://zfin.org/ZDB-GENE-061215-102</v>
      </c>
      <c r="E613" s="1" t="s">
        <v>7415</v>
      </c>
      <c r="F613" s="3">
        <v>1.6085308223468001E-10</v>
      </c>
      <c r="G613" s="1">
        <v>-0.73796762939917504</v>
      </c>
      <c r="H613" s="1">
        <v>0.27200000000000002</v>
      </c>
      <c r="I613" s="1">
        <v>0.53300000000000003</v>
      </c>
      <c r="J613" s="1">
        <v>2</v>
      </c>
    </row>
    <row r="614" spans="1:10" x14ac:dyDescent="0.2">
      <c r="A614" s="1" t="s">
        <v>7414</v>
      </c>
      <c r="B614" s="1" t="s">
        <v>7413</v>
      </c>
      <c r="C614" s="1" t="s">
        <v>7412</v>
      </c>
      <c r="D614" s="2" t="str">
        <f t="shared" si="9"/>
        <v>http://zfin.org/ZDB-GENE-041111-187</v>
      </c>
      <c r="E614" s="1" t="s">
        <v>7411</v>
      </c>
      <c r="F614" s="3">
        <v>3.15068713761915E-7</v>
      </c>
      <c r="G614" s="1">
        <v>-0.73635028226629196</v>
      </c>
      <c r="H614" s="1">
        <v>0.26300000000000001</v>
      </c>
      <c r="I614" s="1">
        <v>0.58299999999999996</v>
      </c>
      <c r="J614" s="1">
        <v>2</v>
      </c>
    </row>
    <row r="615" spans="1:10" x14ac:dyDescent="0.2">
      <c r="A615" s="1" t="s">
        <v>7410</v>
      </c>
      <c r="B615" s="1" t="s">
        <v>7409</v>
      </c>
      <c r="C615" s="1" t="s">
        <v>7408</v>
      </c>
      <c r="D615" s="2" t="str">
        <f t="shared" si="9"/>
        <v>http://zfin.org/ZDB-GENE-040426-2043</v>
      </c>
      <c r="E615" s="1" t="s">
        <v>7407</v>
      </c>
      <c r="F615" s="3">
        <v>8.0008916899789995E-10</v>
      </c>
      <c r="G615" s="1">
        <v>-0.73447249159620198</v>
      </c>
      <c r="H615" s="1">
        <v>0.28899999999999998</v>
      </c>
      <c r="I615" s="1">
        <v>0.51700000000000002</v>
      </c>
      <c r="J615" s="1">
        <v>2</v>
      </c>
    </row>
    <row r="616" spans="1:10" x14ac:dyDescent="0.2">
      <c r="A616" s="1" t="s">
        <v>274</v>
      </c>
      <c r="B616" s="1" t="s">
        <v>273</v>
      </c>
      <c r="C616" s="1" t="s">
        <v>275</v>
      </c>
      <c r="D616" s="2" t="str">
        <f t="shared" si="9"/>
        <v>http://zfin.org/ZDB-GENE-040930-10</v>
      </c>
      <c r="E616" s="1" t="s">
        <v>7406</v>
      </c>
      <c r="F616" s="3">
        <v>1.5677118890113499E-16</v>
      </c>
      <c r="G616" s="1">
        <v>-0.73388175741403905</v>
      </c>
      <c r="H616" s="1">
        <v>0.97399999999999998</v>
      </c>
      <c r="I616" s="1">
        <v>0.96699999999999997</v>
      </c>
      <c r="J616" s="1">
        <v>2</v>
      </c>
    </row>
    <row r="617" spans="1:10" x14ac:dyDescent="0.2">
      <c r="A617" s="1" t="s">
        <v>897</v>
      </c>
      <c r="B617" s="1" t="s">
        <v>896</v>
      </c>
      <c r="C617" s="1" t="s">
        <v>895</v>
      </c>
      <c r="D617" s="2" t="str">
        <f t="shared" si="9"/>
        <v>http://zfin.org/ZDB-GENE-020423-4</v>
      </c>
      <c r="E617" s="1" t="s">
        <v>7405</v>
      </c>
      <c r="F617" s="3">
        <v>7.49073951482528E-19</v>
      </c>
      <c r="G617" s="1">
        <v>-0.73338024215554098</v>
      </c>
      <c r="H617" s="1">
        <v>0.97399999999999998</v>
      </c>
      <c r="I617" s="1">
        <v>0.96699999999999997</v>
      </c>
      <c r="J617" s="1">
        <v>2</v>
      </c>
    </row>
    <row r="618" spans="1:10" x14ac:dyDescent="0.2">
      <c r="A618" s="1" t="s">
        <v>7404</v>
      </c>
      <c r="B618" s="1" t="s">
        <v>7403</v>
      </c>
      <c r="C618" s="1" t="s">
        <v>7402</v>
      </c>
      <c r="D618" s="2" t="str">
        <f t="shared" si="9"/>
        <v>http://zfin.org/ZDB-GENE-030131-9687</v>
      </c>
      <c r="E618" s="1" t="s">
        <v>7401</v>
      </c>
      <c r="F618" s="3">
        <v>9.6413993263660594E-9</v>
      </c>
      <c r="G618" s="1">
        <v>-0.73287050774273699</v>
      </c>
      <c r="H618" s="1">
        <v>0.105</v>
      </c>
      <c r="I618" s="1">
        <v>0.433</v>
      </c>
      <c r="J618" s="1">
        <v>2</v>
      </c>
    </row>
    <row r="619" spans="1:10" x14ac:dyDescent="0.2">
      <c r="A619" s="1" t="s">
        <v>2735</v>
      </c>
      <c r="B619" s="1" t="s">
        <v>2734</v>
      </c>
      <c r="C619" s="1" t="s">
        <v>2733</v>
      </c>
      <c r="D619" s="2" t="str">
        <f t="shared" si="9"/>
        <v>http://zfin.org/ZDB-GENE-050428-1</v>
      </c>
      <c r="E619" s="1" t="s">
        <v>7400</v>
      </c>
      <c r="F619" s="3">
        <v>4.4139836432561003E-9</v>
      </c>
      <c r="G619" s="1">
        <v>-0.73267582361032701</v>
      </c>
      <c r="H619" s="1">
        <v>0.78900000000000003</v>
      </c>
      <c r="I619" s="1">
        <v>0.8</v>
      </c>
      <c r="J619" s="1">
        <v>2</v>
      </c>
    </row>
    <row r="620" spans="1:10" x14ac:dyDescent="0.2">
      <c r="A620" s="1" t="s">
        <v>3360</v>
      </c>
      <c r="B620" s="1" t="s">
        <v>3359</v>
      </c>
      <c r="C620" s="1" t="s">
        <v>3358</v>
      </c>
      <c r="D620" s="2" t="str">
        <f t="shared" si="9"/>
        <v>http://zfin.org/ZDB-GENE-030912-14</v>
      </c>
      <c r="E620" s="1" t="s">
        <v>7399</v>
      </c>
      <c r="F620" s="3">
        <v>4.1823064053664798E-6</v>
      </c>
      <c r="G620" s="1">
        <v>-0.73220688790722599</v>
      </c>
      <c r="H620" s="1">
        <v>0.307</v>
      </c>
      <c r="I620" s="1">
        <v>0.53300000000000003</v>
      </c>
      <c r="J620" s="1">
        <v>2</v>
      </c>
    </row>
    <row r="621" spans="1:10" x14ac:dyDescent="0.2">
      <c r="A621" s="1" t="s">
        <v>7398</v>
      </c>
      <c r="B621" s="1" t="s">
        <v>7397</v>
      </c>
      <c r="C621" s="1" t="s">
        <v>7396</v>
      </c>
      <c r="D621" s="2" t="str">
        <f t="shared" si="9"/>
        <v>http://zfin.org/ZDB-GENE-040426-1038</v>
      </c>
      <c r="E621" s="1" t="s">
        <v>7395</v>
      </c>
      <c r="F621" s="3">
        <v>1.05085473910077E-12</v>
      </c>
      <c r="G621" s="1">
        <v>-0.73154512139729699</v>
      </c>
      <c r="H621" s="1">
        <v>0.377</v>
      </c>
      <c r="I621" s="1">
        <v>0.65</v>
      </c>
      <c r="J621" s="1">
        <v>2</v>
      </c>
    </row>
    <row r="622" spans="1:10" x14ac:dyDescent="0.2">
      <c r="A622" s="1" t="s">
        <v>3261</v>
      </c>
      <c r="B622" s="1" t="s">
        <v>3260</v>
      </c>
      <c r="C622" s="1" t="s">
        <v>3259</v>
      </c>
      <c r="D622" s="2" t="str">
        <f t="shared" si="9"/>
        <v>http://zfin.org/ZDB-GENE-040625-50</v>
      </c>
      <c r="E622" s="1" t="s">
        <v>7394</v>
      </c>
      <c r="F622" s="3">
        <v>2.1488699957397799E-10</v>
      </c>
      <c r="G622" s="1">
        <v>-0.73139285082193795</v>
      </c>
      <c r="H622" s="1">
        <v>0.53500000000000003</v>
      </c>
      <c r="I622" s="1">
        <v>0.75</v>
      </c>
      <c r="J622" s="1">
        <v>2</v>
      </c>
    </row>
    <row r="623" spans="1:10" x14ac:dyDescent="0.2">
      <c r="A623" s="1" t="s">
        <v>7393</v>
      </c>
      <c r="B623" s="1" t="s">
        <v>7392</v>
      </c>
      <c r="C623" s="1" t="s">
        <v>7391</v>
      </c>
      <c r="D623" s="2" t="str">
        <f t="shared" si="9"/>
        <v>http://zfin.org/ZDB-GENE-030131-6547</v>
      </c>
      <c r="E623" s="1" t="s">
        <v>7390</v>
      </c>
      <c r="F623" s="3">
        <v>4.92200171679375E-11</v>
      </c>
      <c r="G623" s="1">
        <v>-0.72949569153085203</v>
      </c>
      <c r="H623" s="1">
        <v>0.56999999999999995</v>
      </c>
      <c r="I623" s="1">
        <v>0.76700000000000002</v>
      </c>
      <c r="J623" s="1">
        <v>2</v>
      </c>
    </row>
    <row r="624" spans="1:10" x14ac:dyDescent="0.2">
      <c r="A624" s="1" t="s">
        <v>113</v>
      </c>
      <c r="B624" s="1" t="s">
        <v>112</v>
      </c>
      <c r="C624" s="1" t="s">
        <v>114</v>
      </c>
      <c r="D624" s="2" t="str">
        <f t="shared" si="9"/>
        <v>http://zfin.org/ZDB-GENE-000210-32</v>
      </c>
      <c r="E624" s="1" t="s">
        <v>7389</v>
      </c>
      <c r="F624" s="3">
        <v>2.3916223702388301E-14</v>
      </c>
      <c r="G624" s="1">
        <v>-0.72599119563146097</v>
      </c>
      <c r="H624" s="1">
        <v>0.97399999999999998</v>
      </c>
      <c r="I624" s="1">
        <v>0.95</v>
      </c>
      <c r="J624" s="1">
        <v>2</v>
      </c>
    </row>
    <row r="625" spans="1:10" x14ac:dyDescent="0.2">
      <c r="A625" s="1" t="s">
        <v>3375</v>
      </c>
      <c r="B625" s="1" t="s">
        <v>3374</v>
      </c>
      <c r="C625" s="1" t="s">
        <v>3373</v>
      </c>
      <c r="D625" s="2" t="str">
        <f t="shared" si="9"/>
        <v>http://zfin.org/ZDB-GENE-040426-860</v>
      </c>
      <c r="E625" s="1" t="s">
        <v>7388</v>
      </c>
      <c r="F625" s="3">
        <v>5.6910921310081502E-11</v>
      </c>
      <c r="G625" s="1">
        <v>-0.72263090365451599</v>
      </c>
      <c r="H625" s="1">
        <v>0.89500000000000002</v>
      </c>
      <c r="I625" s="1">
        <v>0.96699999999999997</v>
      </c>
      <c r="J625" s="1">
        <v>2</v>
      </c>
    </row>
    <row r="626" spans="1:10" x14ac:dyDescent="0.2">
      <c r="A626" s="1" t="s">
        <v>7387</v>
      </c>
      <c r="B626" s="1" t="s">
        <v>7386</v>
      </c>
      <c r="C626" s="1" t="s">
        <v>7385</v>
      </c>
      <c r="D626" s="2" t="str">
        <f t="shared" si="9"/>
        <v>http://zfin.org/ZDB-GENE-030804-3</v>
      </c>
      <c r="E626" s="1" t="s">
        <v>7384</v>
      </c>
      <c r="F626" s="3">
        <v>8.56098686492362E-9</v>
      </c>
      <c r="G626" s="1">
        <v>-0.72215459719933195</v>
      </c>
      <c r="H626" s="1">
        <v>0.89500000000000002</v>
      </c>
      <c r="I626" s="1">
        <v>0.93300000000000005</v>
      </c>
      <c r="J626" s="1">
        <v>2</v>
      </c>
    </row>
    <row r="627" spans="1:10" x14ac:dyDescent="0.2">
      <c r="A627" s="1" t="s">
        <v>7383</v>
      </c>
      <c r="B627" s="1" t="s">
        <v>7382</v>
      </c>
      <c r="C627" s="1" t="s">
        <v>7381</v>
      </c>
      <c r="D627" s="2" t="str">
        <f t="shared" si="9"/>
        <v>http://zfin.org/ZDB-GENE-030131-4275</v>
      </c>
      <c r="E627" s="1" t="s">
        <v>7380</v>
      </c>
      <c r="F627" s="3">
        <v>4.4032877038498997E-11</v>
      </c>
      <c r="G627" s="1">
        <v>-0.72202248894184395</v>
      </c>
      <c r="H627" s="1">
        <v>0.47399999999999998</v>
      </c>
      <c r="I627" s="1">
        <v>0.68300000000000005</v>
      </c>
      <c r="J627" s="1">
        <v>2</v>
      </c>
    </row>
    <row r="628" spans="1:10" x14ac:dyDescent="0.2">
      <c r="A628" s="1" t="s">
        <v>478</v>
      </c>
      <c r="B628" s="1" t="s">
        <v>477</v>
      </c>
      <c r="C628" s="1" t="s">
        <v>476</v>
      </c>
      <c r="D628" s="2" t="str">
        <f t="shared" si="9"/>
        <v>http://zfin.org/ZDB-GENE-040718-92</v>
      </c>
      <c r="E628" s="1" t="s">
        <v>7379</v>
      </c>
      <c r="F628" s="3">
        <v>2.84341365110429E-9</v>
      </c>
      <c r="G628" s="1">
        <v>-0.72175954098481399</v>
      </c>
      <c r="H628" s="1">
        <v>0.64</v>
      </c>
      <c r="I628" s="1">
        <v>0.81699999999999995</v>
      </c>
      <c r="J628" s="1">
        <v>2</v>
      </c>
    </row>
    <row r="629" spans="1:10" x14ac:dyDescent="0.2">
      <c r="A629" s="1" t="s">
        <v>7378</v>
      </c>
      <c r="B629" s="1" t="s">
        <v>7377</v>
      </c>
      <c r="C629" s="1" t="s">
        <v>7376</v>
      </c>
      <c r="D629" s="2" t="str">
        <f t="shared" si="9"/>
        <v>http://zfin.org/ZDB-GENE-070912-179</v>
      </c>
      <c r="E629" s="1" t="s">
        <v>7375</v>
      </c>
      <c r="F629" s="3">
        <v>1.7987067508858699E-7</v>
      </c>
      <c r="G629" s="1">
        <v>-0.72157482367312198</v>
      </c>
      <c r="H629" s="1">
        <v>0.27200000000000002</v>
      </c>
      <c r="I629" s="1">
        <v>0.5</v>
      </c>
      <c r="J629" s="1">
        <v>2</v>
      </c>
    </row>
    <row r="630" spans="1:10" x14ac:dyDescent="0.2">
      <c r="A630" s="1" t="s">
        <v>1395</v>
      </c>
      <c r="B630" s="1" t="s">
        <v>1394</v>
      </c>
      <c r="C630" s="1" t="s">
        <v>1393</v>
      </c>
      <c r="D630" s="2" t="str">
        <f t="shared" si="9"/>
        <v>http://zfin.org/ZDB-GENE-031113-14</v>
      </c>
      <c r="E630" s="1" t="s">
        <v>7374</v>
      </c>
      <c r="F630" s="3">
        <v>2.8805481236916502E-17</v>
      </c>
      <c r="G630" s="1">
        <v>-0.71025663206141698</v>
      </c>
      <c r="H630" s="1">
        <v>0.81599999999999995</v>
      </c>
      <c r="I630" s="1">
        <v>0.86699999999999999</v>
      </c>
      <c r="J630" s="1">
        <v>2</v>
      </c>
    </row>
    <row r="631" spans="1:10" x14ac:dyDescent="0.2">
      <c r="A631" s="1" t="s">
        <v>7373</v>
      </c>
      <c r="B631" s="1" t="s">
        <v>7372</v>
      </c>
      <c r="C631" s="1" t="s">
        <v>7371</v>
      </c>
      <c r="D631" s="2" t="str">
        <f t="shared" si="9"/>
        <v>http://zfin.org/ZDB-GENE-051113-276</v>
      </c>
      <c r="E631" s="1" t="s">
        <v>7370</v>
      </c>
      <c r="F631" s="3">
        <v>2.4897607221824802E-13</v>
      </c>
      <c r="G631" s="1">
        <v>-0.708848759918978</v>
      </c>
      <c r="H631" s="1">
        <v>0.88600000000000001</v>
      </c>
      <c r="I631" s="1">
        <v>0.9</v>
      </c>
      <c r="J631" s="1">
        <v>2</v>
      </c>
    </row>
    <row r="632" spans="1:10" x14ac:dyDescent="0.2">
      <c r="A632" s="1" t="s">
        <v>3369</v>
      </c>
      <c r="B632" s="1" t="s">
        <v>3368</v>
      </c>
      <c r="C632" s="1" t="s">
        <v>3367</v>
      </c>
      <c r="D632" s="2" t="str">
        <f t="shared" si="9"/>
        <v>http://zfin.org/ZDB-GENE-990714-24</v>
      </c>
      <c r="E632" s="1" t="s">
        <v>7369</v>
      </c>
      <c r="F632" s="3">
        <v>1.05320990297118E-13</v>
      </c>
      <c r="G632" s="1">
        <v>-0.70499164357274502</v>
      </c>
      <c r="H632" s="1">
        <v>0.71099999999999997</v>
      </c>
      <c r="I632" s="1">
        <v>0.81699999999999995</v>
      </c>
      <c r="J632" s="1">
        <v>2</v>
      </c>
    </row>
    <row r="633" spans="1:10" x14ac:dyDescent="0.2">
      <c r="A633" s="1" t="s">
        <v>840</v>
      </c>
      <c r="B633" s="1" t="s">
        <v>7368</v>
      </c>
      <c r="C633" s="1" t="s">
        <v>7367</v>
      </c>
      <c r="D633" s="2" t="str">
        <f t="shared" si="9"/>
        <v>http://zfin.org/ZDB-GENE-040426-1023</v>
      </c>
      <c r="E633" s="1" t="s">
        <v>7366</v>
      </c>
      <c r="F633" s="3">
        <v>4.43045167517124E-16</v>
      </c>
      <c r="G633" s="1">
        <v>-0.70392662155535402</v>
      </c>
      <c r="H633" s="1">
        <v>0.98199999999999998</v>
      </c>
      <c r="I633" s="1">
        <v>1</v>
      </c>
      <c r="J633" s="1">
        <v>2</v>
      </c>
    </row>
    <row r="634" spans="1:10" x14ac:dyDescent="0.2">
      <c r="A634" s="1" t="s">
        <v>7365</v>
      </c>
      <c r="B634" s="1" t="s">
        <v>7364</v>
      </c>
      <c r="C634" s="1" t="s">
        <v>7363</v>
      </c>
      <c r="D634" s="2" t="str">
        <f t="shared" si="9"/>
        <v>http://zfin.org/ZDB-GENE-060616-217</v>
      </c>
      <c r="E634" s="1" t="s">
        <v>7362</v>
      </c>
      <c r="F634" s="3">
        <v>1.8086719265557601E-7</v>
      </c>
      <c r="G634" s="1">
        <v>-0.69697976850061705</v>
      </c>
      <c r="H634" s="1">
        <v>0.219</v>
      </c>
      <c r="I634" s="1">
        <v>0.36699999999999999</v>
      </c>
      <c r="J634" s="1">
        <v>2</v>
      </c>
    </row>
    <row r="635" spans="1:10" x14ac:dyDescent="0.2">
      <c r="A635" s="1" t="s">
        <v>7361</v>
      </c>
      <c r="B635" s="1" t="s">
        <v>7360</v>
      </c>
      <c r="C635" s="1" t="s">
        <v>7359</v>
      </c>
      <c r="D635" s="2" t="str">
        <f t="shared" si="9"/>
        <v>http://zfin.org/ZDB-GENE-040625-127</v>
      </c>
      <c r="E635" s="1" t="s">
        <v>7358</v>
      </c>
      <c r="F635" s="3">
        <v>2.30764999447716E-7</v>
      </c>
      <c r="G635" s="1">
        <v>-0.69603362962403104</v>
      </c>
      <c r="H635" s="1">
        <v>0.158</v>
      </c>
      <c r="I635" s="1">
        <v>0.48299999999999998</v>
      </c>
      <c r="J635" s="1">
        <v>2</v>
      </c>
    </row>
    <row r="636" spans="1:10" x14ac:dyDescent="0.2">
      <c r="A636" s="1" t="s">
        <v>7357</v>
      </c>
      <c r="B636" s="1" t="s">
        <v>7356</v>
      </c>
      <c r="C636" s="1" t="s">
        <v>7355</v>
      </c>
      <c r="D636" s="2" t="str">
        <f t="shared" si="9"/>
        <v>http://zfin.org/ZDB-GENE-040426-2194</v>
      </c>
      <c r="E636" s="1" t="s">
        <v>7354</v>
      </c>
      <c r="F636" s="3">
        <v>5.8759356360929803E-12</v>
      </c>
      <c r="G636" s="1">
        <v>-0.69575491920224197</v>
      </c>
      <c r="H636" s="1">
        <v>0.70199999999999996</v>
      </c>
      <c r="I636" s="1">
        <v>0.83299999999999996</v>
      </c>
      <c r="J636" s="1">
        <v>2</v>
      </c>
    </row>
    <row r="637" spans="1:10" x14ac:dyDescent="0.2">
      <c r="A637" s="1" t="s">
        <v>7353</v>
      </c>
      <c r="B637" s="1" t="s">
        <v>7352</v>
      </c>
      <c r="C637" s="1" t="s">
        <v>7351</v>
      </c>
      <c r="D637" s="2" t="str">
        <f t="shared" si="9"/>
        <v>http://zfin.org/ZDB-GENE-041216-1</v>
      </c>
      <c r="E637" s="1" t="s">
        <v>7350</v>
      </c>
      <c r="F637" s="3">
        <v>1.84303078951061E-13</v>
      </c>
      <c r="G637" s="1">
        <v>-0.69330462974592599</v>
      </c>
      <c r="H637" s="1">
        <v>0.55300000000000005</v>
      </c>
      <c r="I637" s="1">
        <v>0.73299999999999998</v>
      </c>
      <c r="J637" s="1">
        <v>2</v>
      </c>
    </row>
    <row r="638" spans="1:10" x14ac:dyDescent="0.2">
      <c r="A638" s="1" t="s">
        <v>7349</v>
      </c>
      <c r="B638" s="1" t="s">
        <v>7348</v>
      </c>
      <c r="C638" s="1" t="s">
        <v>7347</v>
      </c>
      <c r="D638" s="2" t="str">
        <f t="shared" si="9"/>
        <v>http://zfin.org/ZDB-GENE-120420-1</v>
      </c>
      <c r="E638" s="1" t="s">
        <v>7346</v>
      </c>
      <c r="F638" s="3">
        <v>3.1941139547842001E-6</v>
      </c>
      <c r="G638" s="1">
        <v>-0.69110836052576496</v>
      </c>
      <c r="H638" s="1">
        <v>5.2999999999999999E-2</v>
      </c>
      <c r="I638" s="1">
        <v>0.3</v>
      </c>
      <c r="J638" s="1">
        <v>2</v>
      </c>
    </row>
    <row r="639" spans="1:10" x14ac:dyDescent="0.2">
      <c r="A639" s="1" t="s">
        <v>7345</v>
      </c>
      <c r="B639" s="1" t="s">
        <v>7344</v>
      </c>
      <c r="C639" s="1" t="s">
        <v>7343</v>
      </c>
      <c r="D639" s="2" t="str">
        <f t="shared" si="9"/>
        <v>http://zfin.org/ZDB-GENE-011212-2</v>
      </c>
      <c r="E639" s="1" t="s">
        <v>7342</v>
      </c>
      <c r="F639" s="3">
        <v>7.6916782107119895E-13</v>
      </c>
      <c r="G639" s="1">
        <v>-0.69088140006273502</v>
      </c>
      <c r="H639" s="1">
        <v>0.64900000000000002</v>
      </c>
      <c r="I639" s="1">
        <v>0.75</v>
      </c>
      <c r="J639" s="1">
        <v>2</v>
      </c>
    </row>
    <row r="640" spans="1:10" x14ac:dyDescent="0.2">
      <c r="A640" s="1" t="s">
        <v>1356</v>
      </c>
      <c r="B640" s="1" t="s">
        <v>1355</v>
      </c>
      <c r="C640" s="1" t="s">
        <v>1354</v>
      </c>
      <c r="D640" s="2" t="str">
        <f t="shared" si="9"/>
        <v>http://zfin.org/ZDB-GENE-030131-5128</v>
      </c>
      <c r="E640" s="1" t="s">
        <v>7341</v>
      </c>
      <c r="F640" s="3">
        <v>4.5598818892545102E-16</v>
      </c>
      <c r="G640" s="1">
        <v>-0.68907629091422495</v>
      </c>
      <c r="H640" s="1">
        <v>0.91200000000000003</v>
      </c>
      <c r="I640" s="1">
        <v>0.88300000000000001</v>
      </c>
      <c r="J640" s="1">
        <v>2</v>
      </c>
    </row>
    <row r="641" spans="1:10" x14ac:dyDescent="0.2">
      <c r="A641" s="1" t="s">
        <v>7340</v>
      </c>
      <c r="B641" s="1" t="s">
        <v>7339</v>
      </c>
      <c r="C641" s="1" t="s">
        <v>7338</v>
      </c>
      <c r="D641" s="2" t="str">
        <f t="shared" si="9"/>
        <v>http://zfin.org/ZDB-GENE-040825-2</v>
      </c>
      <c r="E641" s="1" t="s">
        <v>7337</v>
      </c>
      <c r="F641" s="3">
        <v>1.52464393542684E-6</v>
      </c>
      <c r="G641" s="1">
        <v>-0.68858907534424496</v>
      </c>
      <c r="H641" s="1">
        <v>0.16700000000000001</v>
      </c>
      <c r="I641" s="1">
        <v>0.45</v>
      </c>
      <c r="J641" s="1">
        <v>2</v>
      </c>
    </row>
    <row r="642" spans="1:10" x14ac:dyDescent="0.2">
      <c r="A642" s="1" t="s">
        <v>2774</v>
      </c>
      <c r="B642" s="1" t="s">
        <v>2773</v>
      </c>
      <c r="C642" s="1" t="s">
        <v>2772</v>
      </c>
      <c r="D642" s="2" t="str">
        <f t="shared" ref="D642:D705" si="10">HYPERLINK(E642)</f>
        <v>http://zfin.org/ZDB-GENE-040123-1</v>
      </c>
      <c r="E642" s="1" t="s">
        <v>7336</v>
      </c>
      <c r="F642" s="3">
        <v>2.5459585060372202E-6</v>
      </c>
      <c r="G642" s="1">
        <v>-0.68611906975693204</v>
      </c>
      <c r="H642" s="1">
        <v>0.28100000000000003</v>
      </c>
      <c r="I642" s="1">
        <v>0.61699999999999999</v>
      </c>
      <c r="J642" s="1">
        <v>2</v>
      </c>
    </row>
    <row r="643" spans="1:10" x14ac:dyDescent="0.2">
      <c r="A643" s="1" t="s">
        <v>7335</v>
      </c>
      <c r="B643" s="1" t="s">
        <v>7334</v>
      </c>
      <c r="C643" s="1" t="s">
        <v>7333</v>
      </c>
      <c r="D643" s="2" t="str">
        <f t="shared" si="10"/>
        <v>http://zfin.org/ZDB-GENE-040426-897</v>
      </c>
      <c r="E643" s="1" t="s">
        <v>7332</v>
      </c>
      <c r="F643" s="3">
        <v>7.04447772138722E-13</v>
      </c>
      <c r="G643" s="1">
        <v>-0.68354099171653904</v>
      </c>
      <c r="H643" s="1">
        <v>0.47399999999999998</v>
      </c>
      <c r="I643" s="1">
        <v>0.65</v>
      </c>
      <c r="J643" s="1">
        <v>2</v>
      </c>
    </row>
    <row r="644" spans="1:10" x14ac:dyDescent="0.2">
      <c r="A644" s="1" t="s">
        <v>7331</v>
      </c>
      <c r="B644" s="1" t="s">
        <v>7330</v>
      </c>
      <c r="C644" s="1" t="s">
        <v>7329</v>
      </c>
      <c r="D644" s="2" t="str">
        <f t="shared" si="10"/>
        <v>http://zfin.org/ZDB-GENE-040426-1932</v>
      </c>
      <c r="E644" s="1" t="s">
        <v>7328</v>
      </c>
      <c r="F644" s="3">
        <v>4.4629235238219599E-11</v>
      </c>
      <c r="G644" s="1">
        <v>-0.68211428161139598</v>
      </c>
      <c r="H644" s="1">
        <v>0.72799999999999998</v>
      </c>
      <c r="I644" s="1">
        <v>0.8</v>
      </c>
      <c r="J644" s="1">
        <v>2</v>
      </c>
    </row>
    <row r="645" spans="1:10" x14ac:dyDescent="0.2">
      <c r="A645" s="1" t="s">
        <v>7327</v>
      </c>
      <c r="B645" s="1" t="s">
        <v>7326</v>
      </c>
      <c r="C645" s="1" t="s">
        <v>7325</v>
      </c>
      <c r="D645" s="2" t="str">
        <f t="shared" si="10"/>
        <v>http://zfin.org/ZDB-GENE-040426-1327</v>
      </c>
      <c r="E645" s="1" t="s">
        <v>7324</v>
      </c>
      <c r="F645" s="3">
        <v>3.4664938130826602E-11</v>
      </c>
      <c r="G645" s="1">
        <v>-0.68136713314591402</v>
      </c>
      <c r="H645" s="1">
        <v>0.36</v>
      </c>
      <c r="I645" s="1">
        <v>0.58299999999999996</v>
      </c>
      <c r="J645" s="1">
        <v>2</v>
      </c>
    </row>
    <row r="646" spans="1:10" x14ac:dyDescent="0.2">
      <c r="A646" s="1" t="s">
        <v>7323</v>
      </c>
      <c r="B646" s="1" t="s">
        <v>7322</v>
      </c>
      <c r="C646" s="1" t="s">
        <v>7321</v>
      </c>
      <c r="D646" s="2" t="str">
        <f t="shared" si="10"/>
        <v>http://zfin.org/ZDB-GENE-050306-51</v>
      </c>
      <c r="E646" s="1" t="s">
        <v>7320</v>
      </c>
      <c r="F646" s="3">
        <v>3.03121313263635E-13</v>
      </c>
      <c r="G646" s="1">
        <v>-0.67866489398629604</v>
      </c>
      <c r="H646" s="1">
        <v>0.80700000000000005</v>
      </c>
      <c r="I646" s="1">
        <v>0.81699999999999995</v>
      </c>
      <c r="J646" s="1">
        <v>2</v>
      </c>
    </row>
    <row r="647" spans="1:10" x14ac:dyDescent="0.2">
      <c r="A647" s="1" t="s">
        <v>7319</v>
      </c>
      <c r="B647" s="1" t="s">
        <v>7318</v>
      </c>
      <c r="C647" s="1" t="s">
        <v>7317</v>
      </c>
      <c r="D647" s="2" t="str">
        <f t="shared" si="10"/>
        <v>http://zfin.org/ZDB-GENE-030131-713</v>
      </c>
      <c r="E647" s="1" t="s">
        <v>7316</v>
      </c>
      <c r="F647" s="3">
        <v>1.51503146977065E-13</v>
      </c>
      <c r="G647" s="1">
        <v>-0.67795770248679899</v>
      </c>
      <c r="H647" s="1">
        <v>0.33300000000000002</v>
      </c>
      <c r="I647" s="1">
        <v>0.53300000000000003</v>
      </c>
      <c r="J647" s="1">
        <v>2</v>
      </c>
    </row>
    <row r="648" spans="1:10" x14ac:dyDescent="0.2">
      <c r="A648" s="1" t="s">
        <v>430</v>
      </c>
      <c r="B648" s="1" t="s">
        <v>429</v>
      </c>
      <c r="C648" s="1" t="s">
        <v>428</v>
      </c>
      <c r="D648" s="2" t="str">
        <f t="shared" si="10"/>
        <v>http://zfin.org/ZDB-GENE-031001-3</v>
      </c>
      <c r="E648" s="1" t="s">
        <v>7315</v>
      </c>
      <c r="F648" s="3">
        <v>2.2061913109272001E-7</v>
      </c>
      <c r="G648" s="1">
        <v>-0.676482103230437</v>
      </c>
      <c r="H648" s="1">
        <v>0.746</v>
      </c>
      <c r="I648" s="1">
        <v>0.76700000000000002</v>
      </c>
      <c r="J648" s="1">
        <v>2</v>
      </c>
    </row>
    <row r="649" spans="1:10" x14ac:dyDescent="0.2">
      <c r="A649" s="1" t="s">
        <v>7314</v>
      </c>
      <c r="B649" s="1" t="s">
        <v>7313</v>
      </c>
      <c r="C649" s="1" t="s">
        <v>7312</v>
      </c>
      <c r="D649" s="2" t="str">
        <f t="shared" si="10"/>
        <v>http://zfin.org/ZDB-GENE-030131-8730</v>
      </c>
      <c r="E649" s="1" t="s">
        <v>7311</v>
      </c>
      <c r="F649" s="3">
        <v>3.9205689630573997E-11</v>
      </c>
      <c r="G649" s="1">
        <v>-0.67490159447392795</v>
      </c>
      <c r="H649" s="1">
        <v>0.316</v>
      </c>
      <c r="I649" s="1">
        <v>0.56699999999999995</v>
      </c>
      <c r="J649" s="1">
        <v>2</v>
      </c>
    </row>
    <row r="650" spans="1:10" x14ac:dyDescent="0.2">
      <c r="A650" s="1" t="s">
        <v>7310</v>
      </c>
      <c r="B650" s="1" t="s">
        <v>7309</v>
      </c>
      <c r="C650" s="1" t="s">
        <v>7308</v>
      </c>
      <c r="D650" s="2" t="str">
        <f t="shared" si="10"/>
        <v>http://zfin.org/ZDB-GENE-030131-7389</v>
      </c>
      <c r="E650" s="1" t="s">
        <v>7307</v>
      </c>
      <c r="F650" s="3">
        <v>1.0456558977205001E-8</v>
      </c>
      <c r="G650" s="1">
        <v>-0.67100975834960996</v>
      </c>
      <c r="H650" s="1">
        <v>0.77200000000000002</v>
      </c>
      <c r="I650" s="1">
        <v>0.9</v>
      </c>
      <c r="J650" s="1">
        <v>2</v>
      </c>
    </row>
    <row r="651" spans="1:10" x14ac:dyDescent="0.2">
      <c r="A651" s="1" t="s">
        <v>7306</v>
      </c>
      <c r="B651" s="1" t="s">
        <v>7305</v>
      </c>
      <c r="C651" s="1" t="s">
        <v>7304</v>
      </c>
      <c r="D651" s="2" t="str">
        <f t="shared" si="10"/>
        <v>http://zfin.org/ZDB-GENE-030131-7868</v>
      </c>
      <c r="E651" s="1" t="s">
        <v>7303</v>
      </c>
      <c r="F651" s="3">
        <v>5.8182673798597403E-10</v>
      </c>
      <c r="G651" s="1">
        <v>-0.67014522568323498</v>
      </c>
      <c r="H651" s="1">
        <v>4.3999999999999997E-2</v>
      </c>
      <c r="I651" s="1">
        <v>0.4</v>
      </c>
      <c r="J651" s="1">
        <v>2</v>
      </c>
    </row>
    <row r="652" spans="1:10" x14ac:dyDescent="0.2">
      <c r="A652" s="1" t="s">
        <v>2896</v>
      </c>
      <c r="B652" s="1" t="s">
        <v>2895</v>
      </c>
      <c r="C652" s="1" t="s">
        <v>2894</v>
      </c>
      <c r="D652" s="2" t="str">
        <f t="shared" si="10"/>
        <v>http://zfin.org/ZDB-GENE-040625-55</v>
      </c>
      <c r="E652" s="1" t="s">
        <v>7302</v>
      </c>
      <c r="F652" s="3">
        <v>7.2396967141198299E-9</v>
      </c>
      <c r="G652" s="1">
        <v>-0.67008749474876805</v>
      </c>
      <c r="H652" s="1">
        <v>0.21099999999999999</v>
      </c>
      <c r="I652" s="1">
        <v>0.5</v>
      </c>
      <c r="J652" s="1">
        <v>2</v>
      </c>
    </row>
    <row r="653" spans="1:10" x14ac:dyDescent="0.2">
      <c r="A653" s="1" t="s">
        <v>7301</v>
      </c>
      <c r="B653" s="1" t="s">
        <v>7300</v>
      </c>
      <c r="C653" s="1" t="s">
        <v>7299</v>
      </c>
      <c r="D653" s="2" t="str">
        <f t="shared" si="10"/>
        <v>http://zfin.org/ZDB-GENE-020419-7</v>
      </c>
      <c r="E653" s="1" t="s">
        <v>7298</v>
      </c>
      <c r="F653" s="3">
        <v>2.4337353191781598E-9</v>
      </c>
      <c r="G653" s="1">
        <v>-0.66967334112023202</v>
      </c>
      <c r="H653" s="1">
        <v>0.66700000000000004</v>
      </c>
      <c r="I653" s="1">
        <v>0.76700000000000002</v>
      </c>
      <c r="J653" s="1">
        <v>2</v>
      </c>
    </row>
    <row r="654" spans="1:10" x14ac:dyDescent="0.2">
      <c r="A654" s="1" t="s">
        <v>7297</v>
      </c>
      <c r="B654" s="1" t="s">
        <v>7296</v>
      </c>
      <c r="C654" s="1" t="s">
        <v>7295</v>
      </c>
      <c r="D654" s="2" t="str">
        <f t="shared" si="10"/>
        <v>http://zfin.org/ZDB-GENE-040912-175</v>
      </c>
      <c r="E654" s="1" t="s">
        <v>7294</v>
      </c>
      <c r="F654" s="3">
        <v>1.17414071068058E-7</v>
      </c>
      <c r="G654" s="1">
        <v>-0.66844293635079799</v>
      </c>
      <c r="H654" s="1">
        <v>0.5</v>
      </c>
      <c r="I654" s="1">
        <v>0.75</v>
      </c>
      <c r="J654" s="1">
        <v>2</v>
      </c>
    </row>
    <row r="655" spans="1:10" x14ac:dyDescent="0.2">
      <c r="A655" s="1" t="s">
        <v>1810</v>
      </c>
      <c r="B655" s="1" t="s">
        <v>1809</v>
      </c>
      <c r="C655" s="1" t="s">
        <v>1808</v>
      </c>
      <c r="D655" s="2" t="str">
        <f t="shared" si="10"/>
        <v>http://zfin.org/ZDB-GENE-030131-3777</v>
      </c>
      <c r="E655" s="1" t="s">
        <v>7293</v>
      </c>
      <c r="F655" s="3">
        <v>4.6151144363670599E-7</v>
      </c>
      <c r="G655" s="1">
        <v>-0.66727426261700595</v>
      </c>
      <c r="H655" s="1">
        <v>0.40400000000000003</v>
      </c>
      <c r="I655" s="1">
        <v>0.6</v>
      </c>
      <c r="J655" s="1">
        <v>2</v>
      </c>
    </row>
    <row r="656" spans="1:10" x14ac:dyDescent="0.2">
      <c r="A656" s="1" t="s">
        <v>7292</v>
      </c>
      <c r="B656" s="1" t="s">
        <v>7291</v>
      </c>
      <c r="C656" s="1" t="s">
        <v>7290</v>
      </c>
      <c r="D656" s="2" t="str">
        <f t="shared" si="10"/>
        <v>http://zfin.org/ZDB-GENE-040426-2761</v>
      </c>
      <c r="E656" s="1" t="s">
        <v>7289</v>
      </c>
      <c r="F656" s="3">
        <v>1.03066936533695E-8</v>
      </c>
      <c r="G656" s="1">
        <v>-0.666765547329079</v>
      </c>
      <c r="H656" s="1">
        <v>3.5000000000000003E-2</v>
      </c>
      <c r="I656" s="1">
        <v>0.33300000000000002</v>
      </c>
      <c r="J656" s="1">
        <v>2</v>
      </c>
    </row>
    <row r="657" spans="1:10" x14ac:dyDescent="0.2">
      <c r="A657" s="1" t="s">
        <v>119</v>
      </c>
      <c r="B657" s="1" t="s">
        <v>118</v>
      </c>
      <c r="C657" s="1" t="s">
        <v>120</v>
      </c>
      <c r="D657" s="2" t="str">
        <f t="shared" si="10"/>
        <v>http://zfin.org/ZDB-GENE-030410-1</v>
      </c>
      <c r="E657" s="1" t="s">
        <v>7288</v>
      </c>
      <c r="F657" s="3">
        <v>1.5929187379722799E-8</v>
      </c>
      <c r="G657" s="1">
        <v>-0.66538504279190203</v>
      </c>
      <c r="H657" s="1">
        <v>0.63200000000000001</v>
      </c>
      <c r="I657" s="1">
        <v>0.61699999999999999</v>
      </c>
      <c r="J657" s="1">
        <v>2</v>
      </c>
    </row>
    <row r="658" spans="1:10" x14ac:dyDescent="0.2">
      <c r="A658" s="1" t="s">
        <v>7287</v>
      </c>
      <c r="B658" s="1" t="s">
        <v>7286</v>
      </c>
      <c r="C658" s="1" t="s">
        <v>7285</v>
      </c>
      <c r="D658" s="2" t="str">
        <f t="shared" si="10"/>
        <v>http://zfin.org/ZDB-GENE-030131-9071</v>
      </c>
      <c r="E658" s="1" t="s">
        <v>7284</v>
      </c>
      <c r="F658" s="3">
        <v>2.8608426150050001E-8</v>
      </c>
      <c r="G658" s="1">
        <v>-0.66504702451786202</v>
      </c>
      <c r="H658" s="1">
        <v>0.28899999999999998</v>
      </c>
      <c r="I658" s="1">
        <v>0.51700000000000002</v>
      </c>
      <c r="J658" s="1">
        <v>2</v>
      </c>
    </row>
    <row r="659" spans="1:10" x14ac:dyDescent="0.2">
      <c r="A659" s="1" t="s">
        <v>7283</v>
      </c>
      <c r="B659" s="1" t="s">
        <v>7282</v>
      </c>
      <c r="C659" s="1" t="s">
        <v>7281</v>
      </c>
      <c r="D659" s="2" t="str">
        <f t="shared" si="10"/>
        <v>http://zfin.org/ZDB-GENE-040426-2397</v>
      </c>
      <c r="E659" s="1" t="s">
        <v>7280</v>
      </c>
      <c r="F659" s="3">
        <v>5.40646902046595E-9</v>
      </c>
      <c r="G659" s="1">
        <v>-0.66111004848333399</v>
      </c>
      <c r="H659" s="1">
        <v>0.29799999999999999</v>
      </c>
      <c r="I659" s="1">
        <v>0.63300000000000001</v>
      </c>
      <c r="J659" s="1">
        <v>2</v>
      </c>
    </row>
    <row r="660" spans="1:10" x14ac:dyDescent="0.2">
      <c r="A660" s="1" t="s">
        <v>2489</v>
      </c>
      <c r="B660" s="1" t="s">
        <v>2488</v>
      </c>
      <c r="C660" s="1" t="s">
        <v>2487</v>
      </c>
      <c r="D660" s="2" t="str">
        <f t="shared" si="10"/>
        <v>http://zfin.org/ZDB-GENE-040426-2706</v>
      </c>
      <c r="E660" s="1" t="s">
        <v>7279</v>
      </c>
      <c r="F660" s="3">
        <v>7.7783047511319805E-11</v>
      </c>
      <c r="G660" s="1">
        <v>-0.65878554035612102</v>
      </c>
      <c r="H660" s="1">
        <v>0.48199999999999998</v>
      </c>
      <c r="I660" s="1">
        <v>0.63300000000000001</v>
      </c>
      <c r="J660" s="1">
        <v>2</v>
      </c>
    </row>
    <row r="661" spans="1:10" x14ac:dyDescent="0.2">
      <c r="A661" s="1" t="s">
        <v>7278</v>
      </c>
      <c r="B661" s="1" t="s">
        <v>7277</v>
      </c>
      <c r="C661" s="1" t="s">
        <v>7276</v>
      </c>
      <c r="D661" s="2" t="str">
        <f t="shared" si="10"/>
        <v>http://zfin.org/ZDB-GENE-040426-899</v>
      </c>
      <c r="E661" s="1" t="s">
        <v>7275</v>
      </c>
      <c r="F661" s="3">
        <v>1.2639393649673701E-7</v>
      </c>
      <c r="G661" s="1">
        <v>-0.65228345341666405</v>
      </c>
      <c r="H661" s="1">
        <v>0.45600000000000002</v>
      </c>
      <c r="I661" s="1">
        <v>0.68300000000000005</v>
      </c>
      <c r="J661" s="1">
        <v>2</v>
      </c>
    </row>
    <row r="662" spans="1:10" x14ac:dyDescent="0.2">
      <c r="A662" s="1" t="s">
        <v>7274</v>
      </c>
      <c r="B662" s="1" t="s">
        <v>7273</v>
      </c>
      <c r="C662" s="1" t="s">
        <v>7272</v>
      </c>
      <c r="D662" s="2" t="str">
        <f t="shared" si="10"/>
        <v>http://zfin.org/ZDB-GENE-020419-26</v>
      </c>
      <c r="E662" s="1" t="s">
        <v>7271</v>
      </c>
      <c r="F662" s="3">
        <v>1.8953358213082401E-9</v>
      </c>
      <c r="G662" s="1">
        <v>-0.65096745076607598</v>
      </c>
      <c r="H662" s="1">
        <v>0.184</v>
      </c>
      <c r="I662" s="1">
        <v>0.5</v>
      </c>
      <c r="J662" s="1">
        <v>2</v>
      </c>
    </row>
    <row r="663" spans="1:10" x14ac:dyDescent="0.2">
      <c r="A663" s="1" t="s">
        <v>7270</v>
      </c>
      <c r="B663" s="1" t="s">
        <v>7269</v>
      </c>
      <c r="C663" s="1" t="s">
        <v>7268</v>
      </c>
      <c r="D663" s="2" t="str">
        <f t="shared" si="10"/>
        <v>http://zfin.org/ZDB-GENE-040426-1735</v>
      </c>
      <c r="E663" s="1" t="s">
        <v>7267</v>
      </c>
      <c r="F663" s="3">
        <v>1.05197272580324E-10</v>
      </c>
      <c r="G663" s="1">
        <v>-0.65079453391298303</v>
      </c>
      <c r="H663" s="1">
        <v>0.83299999999999996</v>
      </c>
      <c r="I663" s="1">
        <v>0.88300000000000001</v>
      </c>
      <c r="J663" s="1">
        <v>2</v>
      </c>
    </row>
    <row r="664" spans="1:10" x14ac:dyDescent="0.2">
      <c r="A664" s="1" t="s">
        <v>3758</v>
      </c>
      <c r="B664" s="1" t="s">
        <v>3757</v>
      </c>
      <c r="C664" s="1" t="s">
        <v>3756</v>
      </c>
      <c r="D664" s="2" t="str">
        <f t="shared" si="10"/>
        <v>http://zfin.org/ZDB-GENE-040426-2213</v>
      </c>
      <c r="E664" s="1" t="s">
        <v>7266</v>
      </c>
      <c r="F664" s="3">
        <v>4.4569578186442903E-8</v>
      </c>
      <c r="G664" s="1">
        <v>-0.649524323858924</v>
      </c>
      <c r="H664" s="1">
        <v>9.6000000000000002E-2</v>
      </c>
      <c r="I664" s="1">
        <v>0.28299999999999997</v>
      </c>
      <c r="J664" s="1">
        <v>2</v>
      </c>
    </row>
    <row r="665" spans="1:10" x14ac:dyDescent="0.2">
      <c r="A665" s="1" t="s">
        <v>7265</v>
      </c>
      <c r="B665" s="1" t="s">
        <v>7264</v>
      </c>
      <c r="C665" s="1" t="s">
        <v>7263</v>
      </c>
      <c r="D665" s="2" t="str">
        <f t="shared" si="10"/>
        <v>http://zfin.org/ZDB-GENE-040720-3</v>
      </c>
      <c r="E665" s="1" t="s">
        <v>7262</v>
      </c>
      <c r="F665" s="3">
        <v>4.3265429763929201E-11</v>
      </c>
      <c r="G665" s="1">
        <v>-0.64856030360182404</v>
      </c>
      <c r="H665" s="1">
        <v>0.69299999999999995</v>
      </c>
      <c r="I665" s="1">
        <v>0.8</v>
      </c>
      <c r="J665" s="1">
        <v>2</v>
      </c>
    </row>
    <row r="666" spans="1:10" x14ac:dyDescent="0.2">
      <c r="A666" s="1" t="s">
        <v>7261</v>
      </c>
      <c r="B666" s="1" t="s">
        <v>7260</v>
      </c>
      <c r="C666" s="1" t="s">
        <v>7259</v>
      </c>
      <c r="D666" s="2" t="str">
        <f t="shared" si="10"/>
        <v>http://zfin.org/ZDB-GENE-990630-13</v>
      </c>
      <c r="E666" s="1" t="s">
        <v>7258</v>
      </c>
      <c r="F666" s="1">
        <v>3.2698261565668901E-4</v>
      </c>
      <c r="G666" s="1">
        <v>-0.64503254585320902</v>
      </c>
      <c r="H666" s="1">
        <v>6.0999999999999999E-2</v>
      </c>
      <c r="I666" s="1">
        <v>0.23300000000000001</v>
      </c>
      <c r="J666" s="1">
        <v>2</v>
      </c>
    </row>
    <row r="667" spans="1:10" x14ac:dyDescent="0.2">
      <c r="A667" s="1" t="s">
        <v>7257</v>
      </c>
      <c r="B667" s="1" t="s">
        <v>7256</v>
      </c>
      <c r="C667" s="1" t="s">
        <v>7255</v>
      </c>
      <c r="D667" s="2" t="str">
        <f t="shared" si="10"/>
        <v>http://zfin.org/ZDB-GENE-041008-106</v>
      </c>
      <c r="E667" s="1" t="s">
        <v>7254</v>
      </c>
      <c r="F667" s="3">
        <v>4.7470098084743501E-10</v>
      </c>
      <c r="G667" s="1">
        <v>-0.64382869041201696</v>
      </c>
      <c r="H667" s="1">
        <v>0.82499999999999996</v>
      </c>
      <c r="I667" s="1">
        <v>0.9</v>
      </c>
      <c r="J667" s="1">
        <v>2</v>
      </c>
    </row>
    <row r="668" spans="1:10" x14ac:dyDescent="0.2">
      <c r="A668" s="1" t="s">
        <v>7253</v>
      </c>
      <c r="B668" s="1" t="s">
        <v>7252</v>
      </c>
      <c r="C668" s="1" t="s">
        <v>7251</v>
      </c>
      <c r="D668" s="2" t="str">
        <f t="shared" si="10"/>
        <v>http://zfin.org/ZDB-GENE-030131-304</v>
      </c>
      <c r="E668" s="1" t="s">
        <v>7250</v>
      </c>
      <c r="F668" s="3">
        <v>4.5253696573373502E-11</v>
      </c>
      <c r="G668" s="1">
        <v>-0.64267654489468695</v>
      </c>
      <c r="H668" s="1">
        <v>0.60499999999999998</v>
      </c>
      <c r="I668" s="1">
        <v>0.71699999999999997</v>
      </c>
      <c r="J668" s="1">
        <v>2</v>
      </c>
    </row>
    <row r="669" spans="1:10" x14ac:dyDescent="0.2">
      <c r="A669" s="1" t="s">
        <v>7249</v>
      </c>
      <c r="B669" s="1" t="s">
        <v>7248</v>
      </c>
      <c r="C669" s="1" t="s">
        <v>7247</v>
      </c>
      <c r="D669" s="2" t="str">
        <f t="shared" si="10"/>
        <v>http://zfin.org/ZDB-GENE-030131-1768</v>
      </c>
      <c r="E669" s="1" t="s">
        <v>7246</v>
      </c>
      <c r="F669" s="3">
        <v>7.9404572049339995E-7</v>
      </c>
      <c r="G669" s="1">
        <v>-0.64215223766946805</v>
      </c>
      <c r="H669" s="1">
        <v>0.105</v>
      </c>
      <c r="I669" s="1">
        <v>0.3</v>
      </c>
      <c r="J669" s="1">
        <v>2</v>
      </c>
    </row>
    <row r="670" spans="1:10" x14ac:dyDescent="0.2">
      <c r="A670" s="1" t="s">
        <v>7245</v>
      </c>
      <c r="B670" s="1" t="s">
        <v>7244</v>
      </c>
      <c r="C670" s="1" t="s">
        <v>7243</v>
      </c>
      <c r="D670" s="2" t="str">
        <f t="shared" si="10"/>
        <v>http://zfin.org/ZDB-GENE-100922-122</v>
      </c>
      <c r="E670" s="1" t="s">
        <v>7242</v>
      </c>
      <c r="F670" s="3">
        <v>1.6302308031460599E-8</v>
      </c>
      <c r="G670" s="1">
        <v>-0.64167416170376701</v>
      </c>
      <c r="H670" s="1">
        <v>0.307</v>
      </c>
      <c r="I670" s="1">
        <v>0.53300000000000003</v>
      </c>
      <c r="J670" s="1">
        <v>2</v>
      </c>
    </row>
    <row r="671" spans="1:10" x14ac:dyDescent="0.2">
      <c r="A671" s="1" t="s">
        <v>4340</v>
      </c>
      <c r="B671" s="1" t="s">
        <v>4339</v>
      </c>
      <c r="C671" s="1" t="s">
        <v>4338</v>
      </c>
      <c r="D671" s="2" t="str">
        <f t="shared" si="10"/>
        <v>http://zfin.org/ZDB-GENE-040625-136</v>
      </c>
      <c r="E671" s="1" t="s">
        <v>7241</v>
      </c>
      <c r="F671" s="3">
        <v>1.8970206870336201E-11</v>
      </c>
      <c r="G671" s="1">
        <v>-0.64126738045553899</v>
      </c>
      <c r="H671" s="1">
        <v>0.377</v>
      </c>
      <c r="I671" s="1">
        <v>0.5</v>
      </c>
      <c r="J671" s="1">
        <v>2</v>
      </c>
    </row>
    <row r="672" spans="1:10" x14ac:dyDescent="0.2">
      <c r="A672" s="1" t="s">
        <v>7240</v>
      </c>
      <c r="B672" s="1" t="s">
        <v>7239</v>
      </c>
      <c r="C672" s="1" t="s">
        <v>7238</v>
      </c>
      <c r="D672" s="2" t="str">
        <f t="shared" si="10"/>
        <v>http://zfin.org/ZDB-GENE-070410-56</v>
      </c>
      <c r="E672" s="1" t="s">
        <v>7237</v>
      </c>
      <c r="F672" s="3">
        <v>1.09833809865268E-8</v>
      </c>
      <c r="G672" s="1">
        <v>-0.64115851617892405</v>
      </c>
      <c r="H672" s="1">
        <v>0.38600000000000001</v>
      </c>
      <c r="I672" s="1">
        <v>0.58299999999999996</v>
      </c>
      <c r="J672" s="1">
        <v>2</v>
      </c>
    </row>
    <row r="673" spans="1:10" x14ac:dyDescent="0.2">
      <c r="A673" s="1" t="s">
        <v>4113</v>
      </c>
      <c r="B673" s="1" t="s">
        <v>4112</v>
      </c>
      <c r="C673" s="1" t="s">
        <v>4111</v>
      </c>
      <c r="D673" s="2" t="str">
        <f t="shared" si="10"/>
        <v>http://zfin.org/ZDB-GENE-040426-2548</v>
      </c>
      <c r="E673" s="1" t="s">
        <v>7236</v>
      </c>
      <c r="F673" s="3">
        <v>1.1989397623444399E-9</v>
      </c>
      <c r="G673" s="1">
        <v>-0.64004081022397796</v>
      </c>
      <c r="H673" s="1">
        <v>0.27200000000000002</v>
      </c>
      <c r="I673" s="1">
        <v>0.45</v>
      </c>
      <c r="J673" s="1">
        <v>2</v>
      </c>
    </row>
    <row r="674" spans="1:10" x14ac:dyDescent="0.2">
      <c r="A674" s="1" t="s">
        <v>3073</v>
      </c>
      <c r="B674" s="1" t="s">
        <v>3072</v>
      </c>
      <c r="C674" s="1" t="s">
        <v>3071</v>
      </c>
      <c r="D674" s="2" t="str">
        <f t="shared" si="10"/>
        <v>http://zfin.org/ZDB-GENE-061027-176</v>
      </c>
      <c r="E674" s="1" t="s">
        <v>7235</v>
      </c>
      <c r="F674" s="3">
        <v>1.7548089417339199E-8</v>
      </c>
      <c r="G674" s="1">
        <v>-0.63879152429422104</v>
      </c>
      <c r="H674" s="1">
        <v>0.84199999999999997</v>
      </c>
      <c r="I674" s="1">
        <v>0.9</v>
      </c>
      <c r="J674" s="1">
        <v>2</v>
      </c>
    </row>
    <row r="675" spans="1:10" x14ac:dyDescent="0.2">
      <c r="A675" s="1" t="s">
        <v>7234</v>
      </c>
      <c r="B675" s="1" t="s">
        <v>7233</v>
      </c>
      <c r="C675" s="1" t="s">
        <v>7232</v>
      </c>
      <c r="D675" s="2" t="str">
        <f t="shared" si="10"/>
        <v>http://zfin.org/ZDB-GENE-040426-904</v>
      </c>
      <c r="E675" s="1" t="s">
        <v>7231</v>
      </c>
      <c r="F675" s="3">
        <v>3.3294238664616501E-9</v>
      </c>
      <c r="G675" s="1">
        <v>-0.63637334773930698</v>
      </c>
      <c r="H675" s="1">
        <v>0.28899999999999998</v>
      </c>
      <c r="I675" s="1">
        <v>0.55000000000000004</v>
      </c>
      <c r="J675" s="1">
        <v>2</v>
      </c>
    </row>
    <row r="676" spans="1:10" x14ac:dyDescent="0.2">
      <c r="A676" s="1" t="s">
        <v>7230</v>
      </c>
      <c r="B676" s="1" t="s">
        <v>7229</v>
      </c>
      <c r="C676" s="1" t="s">
        <v>7228</v>
      </c>
      <c r="D676" s="2" t="str">
        <f t="shared" si="10"/>
        <v>http://zfin.org/ZDB-GENE-070410-85</v>
      </c>
      <c r="E676" s="1" t="s">
        <v>7227</v>
      </c>
      <c r="F676" s="3">
        <v>8.8011218033129506E-6</v>
      </c>
      <c r="G676" s="1">
        <v>-0.63592272774770897</v>
      </c>
      <c r="H676" s="1">
        <v>0.123</v>
      </c>
      <c r="I676" s="1">
        <v>0.41699999999999998</v>
      </c>
      <c r="J676" s="1">
        <v>2</v>
      </c>
    </row>
    <row r="677" spans="1:10" x14ac:dyDescent="0.2">
      <c r="A677" s="1" t="s">
        <v>919</v>
      </c>
      <c r="B677" s="1" t="s">
        <v>918</v>
      </c>
      <c r="C677" s="1" t="s">
        <v>917</v>
      </c>
      <c r="D677" s="2" t="str">
        <f t="shared" si="10"/>
        <v>http://zfin.org/ZDB-GENE-040426-2290</v>
      </c>
      <c r="E677" s="1" t="s">
        <v>7226</v>
      </c>
      <c r="F677" s="3">
        <v>2.03451609775325E-19</v>
      </c>
      <c r="G677" s="1">
        <v>-0.63581747179402504</v>
      </c>
      <c r="H677" s="1">
        <v>0.98199999999999998</v>
      </c>
      <c r="I677" s="1">
        <v>0.98299999999999998</v>
      </c>
      <c r="J677" s="1">
        <v>2</v>
      </c>
    </row>
    <row r="678" spans="1:10" x14ac:dyDescent="0.2">
      <c r="A678" s="1" t="s">
        <v>7225</v>
      </c>
      <c r="B678" s="1" t="s">
        <v>7224</v>
      </c>
      <c r="C678" s="1" t="s">
        <v>7223</v>
      </c>
      <c r="D678" s="2" t="str">
        <f t="shared" si="10"/>
        <v>http://zfin.org/ZDB-GENE-040801-7</v>
      </c>
      <c r="E678" s="1" t="s">
        <v>7222</v>
      </c>
      <c r="F678" s="3">
        <v>2.4488984334126899E-9</v>
      </c>
      <c r="G678" s="1">
        <v>-0.63464633898988698</v>
      </c>
      <c r="H678" s="1">
        <v>0.73699999999999999</v>
      </c>
      <c r="I678" s="1">
        <v>0.85</v>
      </c>
      <c r="J678" s="1">
        <v>2</v>
      </c>
    </row>
    <row r="679" spans="1:10" x14ac:dyDescent="0.2">
      <c r="A679" s="1" t="s">
        <v>7221</v>
      </c>
      <c r="B679" s="1" t="s">
        <v>7220</v>
      </c>
      <c r="C679" s="1" t="s">
        <v>7219</v>
      </c>
      <c r="D679" s="2" t="str">
        <f t="shared" si="10"/>
        <v>http://zfin.org/ZDB-GENE-040426-2848</v>
      </c>
      <c r="E679" s="1" t="s">
        <v>7218</v>
      </c>
      <c r="F679" s="3">
        <v>1.9503669303664499E-5</v>
      </c>
      <c r="G679" s="1">
        <v>-0.63317535463446295</v>
      </c>
      <c r="H679" s="1">
        <v>0.158</v>
      </c>
      <c r="I679" s="1">
        <v>0.4</v>
      </c>
      <c r="J679" s="1">
        <v>2</v>
      </c>
    </row>
    <row r="680" spans="1:10" x14ac:dyDescent="0.2">
      <c r="A680" s="1" t="s">
        <v>7217</v>
      </c>
      <c r="B680" s="1" t="s">
        <v>7216</v>
      </c>
      <c r="C680" s="1" t="s">
        <v>7215</v>
      </c>
      <c r="D680" s="2" t="str">
        <f t="shared" si="10"/>
        <v>http://zfin.org/ZDB-GENE-030131-977</v>
      </c>
      <c r="E680" s="1" t="s">
        <v>7214</v>
      </c>
      <c r="F680" s="3">
        <v>1.12007231297128E-10</v>
      </c>
      <c r="G680" s="1">
        <v>-0.631415160136922</v>
      </c>
      <c r="H680" s="1">
        <v>0.71899999999999997</v>
      </c>
      <c r="I680" s="1">
        <v>0.81699999999999995</v>
      </c>
      <c r="J680" s="1">
        <v>2</v>
      </c>
    </row>
    <row r="681" spans="1:10" x14ac:dyDescent="0.2">
      <c r="A681" s="1" t="s">
        <v>2696</v>
      </c>
      <c r="B681" s="1" t="s">
        <v>2695</v>
      </c>
      <c r="C681" s="1" t="s">
        <v>2694</v>
      </c>
      <c r="D681" s="2" t="str">
        <f t="shared" si="10"/>
        <v>http://zfin.org/ZDB-GENE-020419-5</v>
      </c>
      <c r="E681" s="1" t="s">
        <v>7213</v>
      </c>
      <c r="F681" s="3">
        <v>2.69702615208429E-11</v>
      </c>
      <c r="G681" s="1">
        <v>-0.63103765478968898</v>
      </c>
      <c r="H681" s="1">
        <v>0.41199999999999998</v>
      </c>
      <c r="I681" s="1">
        <v>0.56699999999999995</v>
      </c>
      <c r="J681" s="1">
        <v>2</v>
      </c>
    </row>
    <row r="682" spans="1:10" x14ac:dyDescent="0.2">
      <c r="A682" s="1" t="s">
        <v>7212</v>
      </c>
      <c r="B682" s="1" t="s">
        <v>7211</v>
      </c>
      <c r="C682" s="1" t="s">
        <v>7210</v>
      </c>
      <c r="D682" s="2" t="str">
        <f t="shared" si="10"/>
        <v>http://zfin.org/ZDB-GENE-030131-7782</v>
      </c>
      <c r="E682" s="1" t="s">
        <v>7209</v>
      </c>
      <c r="F682" s="3">
        <v>4.5560089837438499E-10</v>
      </c>
      <c r="G682" s="1">
        <v>-0.63031319536639596</v>
      </c>
      <c r="H682" s="1">
        <v>0.81599999999999995</v>
      </c>
      <c r="I682" s="1">
        <v>0.86699999999999999</v>
      </c>
      <c r="J682" s="1">
        <v>2</v>
      </c>
    </row>
    <row r="683" spans="1:10" x14ac:dyDescent="0.2">
      <c r="A683" s="1" t="s">
        <v>7208</v>
      </c>
      <c r="B683" s="1" t="s">
        <v>7207</v>
      </c>
      <c r="C683" s="1" t="s">
        <v>7206</v>
      </c>
      <c r="D683" s="2" t="str">
        <f t="shared" si="10"/>
        <v>http://zfin.org/ZDB-GENE-040426-710</v>
      </c>
      <c r="E683" s="1" t="s">
        <v>7205</v>
      </c>
      <c r="F683" s="3">
        <v>1.90705595167399E-9</v>
      </c>
      <c r="G683" s="1">
        <v>-0.62980982415409403</v>
      </c>
      <c r="H683" s="1">
        <v>0.158</v>
      </c>
      <c r="I683" s="1">
        <v>0.46700000000000003</v>
      </c>
      <c r="J683" s="1">
        <v>2</v>
      </c>
    </row>
    <row r="684" spans="1:10" x14ac:dyDescent="0.2">
      <c r="A684" s="1" t="s">
        <v>7204</v>
      </c>
      <c r="B684" s="1" t="s">
        <v>7203</v>
      </c>
      <c r="C684" s="1" t="s">
        <v>7202</v>
      </c>
      <c r="D684" s="2" t="str">
        <f t="shared" si="10"/>
        <v>http://zfin.org/ZDB-GENE-040426-1421</v>
      </c>
      <c r="E684" s="1" t="s">
        <v>7201</v>
      </c>
      <c r="F684" s="3">
        <v>8.4749369836439793E-12</v>
      </c>
      <c r="G684" s="1">
        <v>-0.629529546239459</v>
      </c>
      <c r="H684" s="1">
        <v>0.66700000000000004</v>
      </c>
      <c r="I684" s="1">
        <v>0.75</v>
      </c>
      <c r="J684" s="1">
        <v>2</v>
      </c>
    </row>
    <row r="685" spans="1:10" x14ac:dyDescent="0.2">
      <c r="A685" s="1" t="s">
        <v>7200</v>
      </c>
      <c r="B685" s="1" t="s">
        <v>7199</v>
      </c>
      <c r="C685" s="1" t="s">
        <v>7198</v>
      </c>
      <c r="D685" s="2" t="str">
        <f t="shared" si="10"/>
        <v>http://zfin.org/ZDB-GENE-041010-25</v>
      </c>
      <c r="E685" s="1" t="s">
        <v>7197</v>
      </c>
      <c r="F685" s="3">
        <v>2.5273497355291299E-7</v>
      </c>
      <c r="G685" s="1">
        <v>-0.62937989730614896</v>
      </c>
      <c r="H685" s="1">
        <v>0.40400000000000003</v>
      </c>
      <c r="I685" s="1">
        <v>0.66700000000000004</v>
      </c>
      <c r="J685" s="1">
        <v>2</v>
      </c>
    </row>
    <row r="686" spans="1:10" x14ac:dyDescent="0.2">
      <c r="A686" s="1" t="s">
        <v>3264</v>
      </c>
      <c r="B686" s="1" t="s">
        <v>3263</v>
      </c>
      <c r="C686" s="1" t="s">
        <v>3262</v>
      </c>
      <c r="D686" s="2" t="str">
        <f t="shared" si="10"/>
        <v>http://zfin.org/ZDB-GENE-000906-2</v>
      </c>
      <c r="E686" s="1" t="s">
        <v>7196</v>
      </c>
      <c r="F686" s="3">
        <v>2.4533956801282999E-5</v>
      </c>
      <c r="G686" s="1">
        <v>-0.62778935781729495</v>
      </c>
      <c r="H686" s="1">
        <v>0.32500000000000001</v>
      </c>
      <c r="I686" s="1">
        <v>0.56699999999999995</v>
      </c>
      <c r="J686" s="1">
        <v>2</v>
      </c>
    </row>
    <row r="687" spans="1:10" x14ac:dyDescent="0.2">
      <c r="A687" s="1" t="s">
        <v>3202</v>
      </c>
      <c r="B687" s="1" t="s">
        <v>3201</v>
      </c>
      <c r="C687" s="1" t="s">
        <v>3200</v>
      </c>
      <c r="D687" s="2" t="str">
        <f t="shared" si="10"/>
        <v>http://zfin.org/ZDB-GENE-040704-75</v>
      </c>
      <c r="E687" s="1" t="s">
        <v>7195</v>
      </c>
      <c r="F687" s="3">
        <v>1.4369138420223E-8</v>
      </c>
      <c r="G687" s="1">
        <v>-0.62769023515427902</v>
      </c>
      <c r="H687" s="1">
        <v>9.6000000000000002E-2</v>
      </c>
      <c r="I687" s="1">
        <v>0.38300000000000001</v>
      </c>
      <c r="J687" s="1">
        <v>2</v>
      </c>
    </row>
    <row r="688" spans="1:10" x14ac:dyDescent="0.2">
      <c r="A688" s="1" t="s">
        <v>3818</v>
      </c>
      <c r="B688" s="1" t="s">
        <v>3817</v>
      </c>
      <c r="C688" s="1" t="s">
        <v>3816</v>
      </c>
      <c r="D688" s="2" t="str">
        <f t="shared" si="10"/>
        <v>http://zfin.org/ZDB-GENE-040426-2822</v>
      </c>
      <c r="E688" s="1" t="s">
        <v>7194</v>
      </c>
      <c r="F688" s="3">
        <v>1.2558615094323601E-6</v>
      </c>
      <c r="G688" s="1">
        <v>-0.62632371755725402</v>
      </c>
      <c r="H688" s="1">
        <v>0.14000000000000001</v>
      </c>
      <c r="I688" s="1">
        <v>0.36699999999999999</v>
      </c>
      <c r="J688" s="1">
        <v>2</v>
      </c>
    </row>
    <row r="689" spans="1:10" x14ac:dyDescent="0.2">
      <c r="A689" s="1" t="s">
        <v>7193</v>
      </c>
      <c r="B689" s="1" t="s">
        <v>7192</v>
      </c>
      <c r="C689" s="1" t="s">
        <v>7191</v>
      </c>
      <c r="D689" s="2" t="str">
        <f t="shared" si="10"/>
        <v>http://zfin.org/ZDB-GENE-990415-57</v>
      </c>
      <c r="E689" s="1" t="s">
        <v>7190</v>
      </c>
      <c r="F689" s="3">
        <v>1.41704497830189E-9</v>
      </c>
      <c r="G689" s="1">
        <v>-0.62374461107618695</v>
      </c>
      <c r="H689" s="1">
        <v>0.66700000000000004</v>
      </c>
      <c r="I689" s="1">
        <v>0.8</v>
      </c>
      <c r="J689" s="1">
        <v>2</v>
      </c>
    </row>
    <row r="690" spans="1:10" x14ac:dyDescent="0.2">
      <c r="A690" s="1" t="s">
        <v>7189</v>
      </c>
      <c r="B690" s="1" t="s">
        <v>7188</v>
      </c>
      <c r="C690" s="1" t="s">
        <v>7187</v>
      </c>
      <c r="D690" s="2" t="str">
        <f t="shared" si="10"/>
        <v>http://zfin.org/ZDB-GENE-030131-6898</v>
      </c>
      <c r="E690" s="1" t="s">
        <v>7186</v>
      </c>
      <c r="F690" s="3">
        <v>7.1324456139423198E-7</v>
      </c>
      <c r="G690" s="1">
        <v>-0.62281697636203304</v>
      </c>
      <c r="H690" s="1">
        <v>0.105</v>
      </c>
      <c r="I690" s="1">
        <v>0.33300000000000002</v>
      </c>
      <c r="J690" s="1">
        <v>2</v>
      </c>
    </row>
    <row r="691" spans="1:10" x14ac:dyDescent="0.2">
      <c r="A691" s="1" t="s">
        <v>7185</v>
      </c>
      <c r="B691" s="1" t="s">
        <v>7184</v>
      </c>
      <c r="C691" s="1" t="s">
        <v>7183</v>
      </c>
      <c r="D691" s="2" t="str">
        <f t="shared" si="10"/>
        <v>http://zfin.org/ZDB-GENE-030909-14</v>
      </c>
      <c r="E691" s="1" t="s">
        <v>7182</v>
      </c>
      <c r="F691" s="3">
        <v>2.6258528801646001E-11</v>
      </c>
      <c r="G691" s="1">
        <v>-0.62116920192543601</v>
      </c>
      <c r="H691" s="1">
        <v>0.17499999999999999</v>
      </c>
      <c r="I691" s="1">
        <v>0.35</v>
      </c>
      <c r="J691" s="1">
        <v>2</v>
      </c>
    </row>
    <row r="692" spans="1:10" x14ac:dyDescent="0.2">
      <c r="A692" s="1" t="s">
        <v>7181</v>
      </c>
      <c r="B692" s="1" t="s">
        <v>7180</v>
      </c>
      <c r="C692" s="1" t="s">
        <v>7179</v>
      </c>
      <c r="D692" s="2" t="str">
        <f t="shared" si="10"/>
        <v>http://zfin.org/ZDB-GENE-040426-2140</v>
      </c>
      <c r="E692" s="1" t="s">
        <v>7178</v>
      </c>
      <c r="F692" s="3">
        <v>7.82953102592798E-7</v>
      </c>
      <c r="G692" s="1">
        <v>-0.62096535862420499</v>
      </c>
      <c r="H692" s="1">
        <v>0.158</v>
      </c>
      <c r="I692" s="1">
        <v>0.41699999999999998</v>
      </c>
      <c r="J692" s="1">
        <v>2</v>
      </c>
    </row>
    <row r="693" spans="1:10" x14ac:dyDescent="0.2">
      <c r="A693" s="1" t="s">
        <v>7177</v>
      </c>
      <c r="B693" s="1" t="s">
        <v>7176</v>
      </c>
      <c r="C693" s="1" t="s">
        <v>7175</v>
      </c>
      <c r="D693" s="2" t="str">
        <f t="shared" si="10"/>
        <v>http://zfin.org/ZDB-GENE-030131-988</v>
      </c>
      <c r="E693" s="1" t="s">
        <v>7174</v>
      </c>
      <c r="F693" s="3">
        <v>3.55165392122333E-12</v>
      </c>
      <c r="G693" s="1">
        <v>-0.62033749544522099</v>
      </c>
      <c r="H693" s="1">
        <v>0.83299999999999996</v>
      </c>
      <c r="I693" s="1">
        <v>0.81699999999999995</v>
      </c>
      <c r="J693" s="1">
        <v>2</v>
      </c>
    </row>
    <row r="694" spans="1:10" x14ac:dyDescent="0.2">
      <c r="A694" s="1" t="s">
        <v>2176</v>
      </c>
      <c r="B694" s="1" t="s">
        <v>2175</v>
      </c>
      <c r="C694" s="1" t="s">
        <v>2174</v>
      </c>
      <c r="D694" s="2" t="str">
        <f t="shared" si="10"/>
        <v>http://zfin.org/ZDB-GENE-030131-445</v>
      </c>
      <c r="E694" s="1" t="s">
        <v>7173</v>
      </c>
      <c r="F694" s="3">
        <v>3.5095565336819299E-8</v>
      </c>
      <c r="G694" s="1">
        <v>-0.61896537813436803</v>
      </c>
      <c r="H694" s="1">
        <v>0.21099999999999999</v>
      </c>
      <c r="I694" s="1">
        <v>0.48299999999999998</v>
      </c>
      <c r="J694" s="1">
        <v>2</v>
      </c>
    </row>
    <row r="695" spans="1:10" x14ac:dyDescent="0.2">
      <c r="A695" s="1" t="s">
        <v>7172</v>
      </c>
      <c r="B695" s="1" t="s">
        <v>7171</v>
      </c>
      <c r="C695" s="1" t="s">
        <v>7170</v>
      </c>
      <c r="D695" s="2" t="str">
        <f t="shared" si="10"/>
        <v>http://zfin.org/ZDB-GENE-040426-2334</v>
      </c>
      <c r="E695" s="1" t="s">
        <v>7169</v>
      </c>
      <c r="F695" s="3">
        <v>1.05777039565051E-6</v>
      </c>
      <c r="G695" s="1">
        <v>-0.61575139382310295</v>
      </c>
      <c r="H695" s="1">
        <v>3.5000000000000003E-2</v>
      </c>
      <c r="I695" s="1">
        <v>0.28299999999999997</v>
      </c>
      <c r="J695" s="1">
        <v>2</v>
      </c>
    </row>
    <row r="696" spans="1:10" x14ac:dyDescent="0.2">
      <c r="A696" s="1" t="s">
        <v>7168</v>
      </c>
      <c r="B696" s="1" t="s">
        <v>7167</v>
      </c>
      <c r="C696" s="1" t="s">
        <v>7166</v>
      </c>
      <c r="D696" s="2" t="str">
        <f t="shared" si="10"/>
        <v>http://zfin.org/ZDB-GENE-040426-2303</v>
      </c>
      <c r="E696" s="1" t="s">
        <v>7165</v>
      </c>
      <c r="F696" s="3">
        <v>4.05153310591577E-8</v>
      </c>
      <c r="G696" s="1">
        <v>-0.61396390811768697</v>
      </c>
      <c r="H696" s="1">
        <v>0.41199999999999998</v>
      </c>
      <c r="I696" s="1">
        <v>0.58299999999999996</v>
      </c>
      <c r="J696" s="1">
        <v>2</v>
      </c>
    </row>
    <row r="697" spans="1:10" x14ac:dyDescent="0.2">
      <c r="A697" s="1" t="s">
        <v>7164</v>
      </c>
      <c r="B697" s="1" t="s">
        <v>7163</v>
      </c>
      <c r="C697" s="1" t="s">
        <v>7162</v>
      </c>
      <c r="D697" s="2" t="str">
        <f t="shared" si="10"/>
        <v>http://zfin.org/ZDB-GENE-040625-144</v>
      </c>
      <c r="E697" s="1" t="s">
        <v>7161</v>
      </c>
      <c r="F697" s="3">
        <v>1.38555919710065E-8</v>
      </c>
      <c r="G697" s="1">
        <v>-0.61329206263918901</v>
      </c>
      <c r="H697" s="1">
        <v>0.439</v>
      </c>
      <c r="I697" s="1">
        <v>0.63300000000000001</v>
      </c>
      <c r="J697" s="1">
        <v>2</v>
      </c>
    </row>
    <row r="698" spans="1:10" x14ac:dyDescent="0.2">
      <c r="A698" s="1" t="s">
        <v>7160</v>
      </c>
      <c r="B698" s="1" t="s">
        <v>7159</v>
      </c>
      <c r="C698" s="1" t="s">
        <v>7158</v>
      </c>
      <c r="D698" s="2" t="str">
        <f t="shared" si="10"/>
        <v>http://zfin.org/ZDB-GENE-030131-4357</v>
      </c>
      <c r="E698" s="1" t="s">
        <v>7157</v>
      </c>
      <c r="F698" s="3">
        <v>2.3218171728560898E-9</v>
      </c>
      <c r="G698" s="1">
        <v>-0.611544248607642</v>
      </c>
      <c r="H698" s="1">
        <v>0.17499999999999999</v>
      </c>
      <c r="I698" s="1">
        <v>0.41699999999999998</v>
      </c>
      <c r="J698" s="1">
        <v>2</v>
      </c>
    </row>
    <row r="699" spans="1:10" x14ac:dyDescent="0.2">
      <c r="A699" s="1" t="s">
        <v>7156</v>
      </c>
      <c r="B699" s="1" t="s">
        <v>7155</v>
      </c>
      <c r="C699" s="1" t="s">
        <v>7154</v>
      </c>
      <c r="D699" s="2" t="str">
        <f t="shared" si="10"/>
        <v>http://zfin.org/ZDB-GENE-030131-6034</v>
      </c>
      <c r="E699" s="1" t="s">
        <v>7153</v>
      </c>
      <c r="F699" s="3">
        <v>5.0223533980608501E-8</v>
      </c>
      <c r="G699" s="1">
        <v>-0.61146771331063898</v>
      </c>
      <c r="H699" s="1">
        <v>0.377</v>
      </c>
      <c r="I699" s="1">
        <v>0.48299999999999998</v>
      </c>
      <c r="J699" s="1">
        <v>2</v>
      </c>
    </row>
    <row r="700" spans="1:10" x14ac:dyDescent="0.2">
      <c r="A700" s="1" t="s">
        <v>2732</v>
      </c>
      <c r="B700" s="1" t="s">
        <v>2731</v>
      </c>
      <c r="C700" s="1" t="s">
        <v>2730</v>
      </c>
      <c r="D700" s="2" t="str">
        <f t="shared" si="10"/>
        <v>http://zfin.org/ZDB-GENE-000125-4</v>
      </c>
      <c r="E700" s="1" t="s">
        <v>7152</v>
      </c>
      <c r="F700" s="1">
        <v>1.1627821462209799E-4</v>
      </c>
      <c r="G700" s="1">
        <v>-0.60947527794624901</v>
      </c>
      <c r="H700" s="1">
        <v>8.9999999999999993E-3</v>
      </c>
      <c r="I700" s="1">
        <v>0.2</v>
      </c>
      <c r="J700" s="1">
        <v>2</v>
      </c>
    </row>
    <row r="701" spans="1:10" x14ac:dyDescent="0.2">
      <c r="A701" s="1" t="s">
        <v>2085</v>
      </c>
      <c r="B701" s="1" t="s">
        <v>2084</v>
      </c>
      <c r="C701" s="1" t="s">
        <v>2083</v>
      </c>
      <c r="D701" s="2" t="str">
        <f t="shared" si="10"/>
        <v>http://zfin.org/ZDB-GENE-081105-65</v>
      </c>
      <c r="E701" s="1" t="s">
        <v>7151</v>
      </c>
      <c r="F701" s="3">
        <v>4.9513188358711503E-7</v>
      </c>
      <c r="G701" s="1">
        <v>-0.60833956599517303</v>
      </c>
      <c r="H701" s="1">
        <v>0.55300000000000005</v>
      </c>
      <c r="I701" s="1">
        <v>0.7</v>
      </c>
      <c r="J701" s="1">
        <v>2</v>
      </c>
    </row>
    <row r="702" spans="1:10" x14ac:dyDescent="0.2">
      <c r="A702" s="1" t="s">
        <v>7150</v>
      </c>
      <c r="B702" s="1" t="s">
        <v>7149</v>
      </c>
      <c r="C702" s="1" t="s">
        <v>7148</v>
      </c>
      <c r="D702" s="2" t="str">
        <f t="shared" si="10"/>
        <v>http://zfin.org/ZDB-GENE-030131-994</v>
      </c>
      <c r="E702" s="1" t="s">
        <v>7147</v>
      </c>
      <c r="F702" s="3">
        <v>4.4048993229213904E-9</v>
      </c>
      <c r="G702" s="1">
        <v>-0.60570398570821804</v>
      </c>
      <c r="H702" s="1">
        <v>0.52600000000000002</v>
      </c>
      <c r="I702" s="1">
        <v>0.66700000000000004</v>
      </c>
      <c r="J702" s="1">
        <v>2</v>
      </c>
    </row>
    <row r="703" spans="1:10" x14ac:dyDescent="0.2">
      <c r="A703" s="1" t="s">
        <v>7146</v>
      </c>
      <c r="B703" s="1" t="s">
        <v>7145</v>
      </c>
      <c r="C703" s="1" t="s">
        <v>7144</v>
      </c>
      <c r="D703" s="2" t="str">
        <f t="shared" si="10"/>
        <v>http://zfin.org/ZDB-GENE-040718-353</v>
      </c>
      <c r="E703" s="1" t="s">
        <v>7143</v>
      </c>
      <c r="F703" s="3">
        <v>1.18336978689396E-10</v>
      </c>
      <c r="G703" s="1">
        <v>-0.60529264940179595</v>
      </c>
      <c r="H703" s="1">
        <v>0.42099999999999999</v>
      </c>
      <c r="I703" s="1">
        <v>0.55000000000000004</v>
      </c>
      <c r="J703" s="1">
        <v>2</v>
      </c>
    </row>
    <row r="704" spans="1:10" x14ac:dyDescent="0.2">
      <c r="A704" s="1" t="s">
        <v>7142</v>
      </c>
      <c r="B704" s="1" t="s">
        <v>7141</v>
      </c>
      <c r="C704" s="1" t="s">
        <v>7140</v>
      </c>
      <c r="D704" s="2" t="str">
        <f t="shared" si="10"/>
        <v>http://zfin.org/ZDB-GENE-030131-605</v>
      </c>
      <c r="E704" s="1" t="s">
        <v>7139</v>
      </c>
      <c r="F704" s="3">
        <v>4.2973137209988197E-6</v>
      </c>
      <c r="G704" s="1">
        <v>-0.60360111696062002</v>
      </c>
      <c r="H704" s="1">
        <v>0.38600000000000001</v>
      </c>
      <c r="I704" s="1">
        <v>0.58299999999999996</v>
      </c>
      <c r="J704" s="1">
        <v>2</v>
      </c>
    </row>
    <row r="705" spans="1:10" x14ac:dyDescent="0.2">
      <c r="A705" s="1" t="s">
        <v>7138</v>
      </c>
      <c r="B705" s="1" t="s">
        <v>7137</v>
      </c>
      <c r="C705" s="1" t="s">
        <v>7136</v>
      </c>
      <c r="D705" s="2" t="str">
        <f t="shared" si="10"/>
        <v>http://zfin.org/ZDB-GENE-010614-1</v>
      </c>
      <c r="E705" s="1" t="s">
        <v>7135</v>
      </c>
      <c r="F705" s="3">
        <v>2.3826391093072801E-8</v>
      </c>
      <c r="G705" s="1">
        <v>-0.60140714941886897</v>
      </c>
      <c r="H705" s="1">
        <v>7.0000000000000007E-2</v>
      </c>
      <c r="I705" s="1">
        <v>0.28299999999999997</v>
      </c>
      <c r="J705" s="1">
        <v>2</v>
      </c>
    </row>
    <row r="706" spans="1:10" x14ac:dyDescent="0.2">
      <c r="A706" s="1" t="s">
        <v>7134</v>
      </c>
      <c r="B706" s="1" t="s">
        <v>7133</v>
      </c>
      <c r="D706" s="2" t="str">
        <f t="shared" ref="D706:D769" si="11">HYPERLINK(E706)</f>
        <v>http://zfin.org/</v>
      </c>
      <c r="E706" s="1" t="s">
        <v>4625</v>
      </c>
      <c r="F706" s="3">
        <v>8.1405740872424694E-11</v>
      </c>
      <c r="G706" s="1">
        <v>-0.60119241516351596</v>
      </c>
      <c r="H706" s="1">
        <v>0.42099999999999999</v>
      </c>
      <c r="I706" s="1">
        <v>0.55000000000000004</v>
      </c>
      <c r="J706" s="1">
        <v>2</v>
      </c>
    </row>
    <row r="707" spans="1:10" x14ac:dyDescent="0.2">
      <c r="A707" s="1" t="s">
        <v>7132</v>
      </c>
      <c r="B707" s="1" t="s">
        <v>7131</v>
      </c>
      <c r="C707" s="1" t="s">
        <v>7130</v>
      </c>
      <c r="D707" s="2" t="str">
        <f t="shared" si="11"/>
        <v>http://zfin.org/ZDB-GENE-030131-5083</v>
      </c>
      <c r="E707" s="1" t="s">
        <v>7129</v>
      </c>
      <c r="F707" s="3">
        <v>2.8669382924018502E-13</v>
      </c>
      <c r="G707" s="1">
        <v>-0.60082042811288905</v>
      </c>
      <c r="H707" s="1">
        <v>0.60499999999999998</v>
      </c>
      <c r="I707" s="1">
        <v>0.7</v>
      </c>
      <c r="J707" s="1">
        <v>2</v>
      </c>
    </row>
    <row r="708" spans="1:10" x14ac:dyDescent="0.2">
      <c r="A708" s="1" t="s">
        <v>7128</v>
      </c>
      <c r="B708" s="1" t="s">
        <v>7127</v>
      </c>
      <c r="C708" s="1" t="s">
        <v>7126</v>
      </c>
      <c r="D708" s="2" t="str">
        <f t="shared" si="11"/>
        <v>http://zfin.org/ZDB-GENE-161207-2</v>
      </c>
      <c r="E708" s="1" t="s">
        <v>7125</v>
      </c>
      <c r="F708" s="3">
        <v>4.53397017058482E-11</v>
      </c>
      <c r="G708" s="1">
        <v>-0.600201173005661</v>
      </c>
      <c r="H708" s="1">
        <v>0.44700000000000001</v>
      </c>
      <c r="I708" s="1">
        <v>0.61699999999999999</v>
      </c>
      <c r="J708" s="1">
        <v>2</v>
      </c>
    </row>
    <row r="709" spans="1:10" x14ac:dyDescent="0.2">
      <c r="A709" s="1" t="s">
        <v>7124</v>
      </c>
      <c r="B709" s="1" t="s">
        <v>7123</v>
      </c>
      <c r="C709" s="1" t="s">
        <v>7122</v>
      </c>
      <c r="D709" s="2" t="str">
        <f t="shared" si="11"/>
        <v>http://zfin.org/ZDB-GENE-030131-8279</v>
      </c>
      <c r="E709" s="1" t="s">
        <v>7121</v>
      </c>
      <c r="F709" s="3">
        <v>7.0530002600365302E-10</v>
      </c>
      <c r="G709" s="1">
        <v>-0.59812555350666496</v>
      </c>
      <c r="H709" s="1">
        <v>0.54400000000000004</v>
      </c>
      <c r="I709" s="1">
        <v>0.68300000000000005</v>
      </c>
      <c r="J709" s="1">
        <v>2</v>
      </c>
    </row>
    <row r="710" spans="1:10" x14ac:dyDescent="0.2">
      <c r="A710" s="1" t="s">
        <v>7120</v>
      </c>
      <c r="B710" s="1" t="s">
        <v>7119</v>
      </c>
      <c r="C710" s="1" t="s">
        <v>7118</v>
      </c>
      <c r="D710" s="2" t="str">
        <f t="shared" si="11"/>
        <v>http://zfin.org/ZDB-GENE-030131-8015</v>
      </c>
      <c r="E710" s="1" t="s">
        <v>7117</v>
      </c>
      <c r="F710" s="3">
        <v>5.9089424615588097E-7</v>
      </c>
      <c r="G710" s="1">
        <v>-0.59669499563944794</v>
      </c>
      <c r="H710" s="1">
        <v>0.47399999999999998</v>
      </c>
      <c r="I710" s="1">
        <v>0.66700000000000004</v>
      </c>
      <c r="J710" s="1">
        <v>2</v>
      </c>
    </row>
    <row r="711" spans="1:10" x14ac:dyDescent="0.2">
      <c r="A711" s="1" t="s">
        <v>7116</v>
      </c>
      <c r="B711" s="1" t="s">
        <v>7115</v>
      </c>
      <c r="C711" s="1" t="s">
        <v>7114</v>
      </c>
      <c r="D711" s="2" t="str">
        <f t="shared" si="11"/>
        <v>http://zfin.org/ZDB-GENE-060315-3</v>
      </c>
      <c r="E711" s="1" t="s">
        <v>7113</v>
      </c>
      <c r="F711" s="3">
        <v>6.2547863413898199E-6</v>
      </c>
      <c r="G711" s="1">
        <v>-0.59662196025024905</v>
      </c>
      <c r="H711" s="1">
        <v>0.219</v>
      </c>
      <c r="I711" s="1">
        <v>0.38300000000000001</v>
      </c>
      <c r="J711" s="1">
        <v>2</v>
      </c>
    </row>
    <row r="712" spans="1:10" x14ac:dyDescent="0.2">
      <c r="A712" s="1" t="s">
        <v>7112</v>
      </c>
      <c r="B712" s="1" t="s">
        <v>7111</v>
      </c>
      <c r="C712" s="1" t="s">
        <v>7110</v>
      </c>
      <c r="D712" s="2" t="str">
        <f t="shared" si="11"/>
        <v>http://zfin.org/ZDB-GENE-040426-905</v>
      </c>
      <c r="E712" s="1" t="s">
        <v>7109</v>
      </c>
      <c r="F712" s="3">
        <v>1.7065727784801199E-6</v>
      </c>
      <c r="G712" s="1">
        <v>-0.59258959212104501</v>
      </c>
      <c r="H712" s="1">
        <v>0.17499999999999999</v>
      </c>
      <c r="I712" s="1">
        <v>0.36699999999999999</v>
      </c>
      <c r="J712" s="1">
        <v>2</v>
      </c>
    </row>
    <row r="713" spans="1:10" x14ac:dyDescent="0.2">
      <c r="A713" s="1" t="s">
        <v>7108</v>
      </c>
      <c r="B713" s="1" t="s">
        <v>7107</v>
      </c>
      <c r="C713" s="1" t="s">
        <v>7106</v>
      </c>
      <c r="D713" s="2" t="str">
        <f t="shared" si="11"/>
        <v>http://zfin.org/ZDB-GENE-061013-134</v>
      </c>
      <c r="E713" s="1" t="s">
        <v>7105</v>
      </c>
      <c r="F713" s="3">
        <v>1.31259815791706E-8</v>
      </c>
      <c r="G713" s="1">
        <v>-0.59225979558743402</v>
      </c>
      <c r="H713" s="1">
        <v>0.439</v>
      </c>
      <c r="I713" s="1">
        <v>0.53300000000000003</v>
      </c>
      <c r="J713" s="1">
        <v>2</v>
      </c>
    </row>
    <row r="714" spans="1:10" x14ac:dyDescent="0.2">
      <c r="A714" s="1" t="s">
        <v>7104</v>
      </c>
      <c r="B714" s="1" t="s">
        <v>7103</v>
      </c>
      <c r="C714" s="1" t="s">
        <v>7102</v>
      </c>
      <c r="D714" s="2" t="str">
        <f t="shared" si="11"/>
        <v>http://zfin.org/ZDB-GENE-030616-583</v>
      </c>
      <c r="E714" s="1" t="s">
        <v>7101</v>
      </c>
      <c r="F714" s="3">
        <v>3.9116013693303202E-8</v>
      </c>
      <c r="G714" s="1">
        <v>-0.59005142085069895</v>
      </c>
      <c r="H714" s="1">
        <v>0.49099999999999999</v>
      </c>
      <c r="I714" s="1">
        <v>0.6</v>
      </c>
      <c r="J714" s="1">
        <v>2</v>
      </c>
    </row>
    <row r="715" spans="1:10" x14ac:dyDescent="0.2">
      <c r="A715" s="1" t="s">
        <v>3258</v>
      </c>
      <c r="B715" s="1" t="s">
        <v>3257</v>
      </c>
      <c r="C715" s="1" t="s">
        <v>3256</v>
      </c>
      <c r="D715" s="2" t="str">
        <f t="shared" si="11"/>
        <v>http://zfin.org/ZDB-GENE-041007-4</v>
      </c>
      <c r="E715" s="1" t="s">
        <v>7100</v>
      </c>
      <c r="F715" s="3">
        <v>6.4761451842936402E-6</v>
      </c>
      <c r="G715" s="1">
        <v>-0.58945498239148797</v>
      </c>
      <c r="H715" s="1">
        <v>0.26300000000000001</v>
      </c>
      <c r="I715" s="1">
        <v>0.48299999999999998</v>
      </c>
      <c r="J715" s="1">
        <v>2</v>
      </c>
    </row>
    <row r="716" spans="1:10" x14ac:dyDescent="0.2">
      <c r="A716" s="1" t="s">
        <v>7099</v>
      </c>
      <c r="B716" s="1" t="s">
        <v>7098</v>
      </c>
      <c r="C716" s="1" t="s">
        <v>7097</v>
      </c>
      <c r="D716" s="2" t="str">
        <f t="shared" si="11"/>
        <v>http://zfin.org/ZDB-GENE-060531-140</v>
      </c>
      <c r="E716" s="1" t="s">
        <v>7096</v>
      </c>
      <c r="F716" s="1">
        <v>6.7618446406735001E-4</v>
      </c>
      <c r="G716" s="1">
        <v>-0.58498986291496502</v>
      </c>
      <c r="H716" s="1">
        <v>5.2999999999999999E-2</v>
      </c>
      <c r="I716" s="1">
        <v>0.217</v>
      </c>
      <c r="J716" s="1">
        <v>2</v>
      </c>
    </row>
    <row r="717" spans="1:10" x14ac:dyDescent="0.2">
      <c r="A717" s="1" t="s">
        <v>7095</v>
      </c>
      <c r="B717" s="1" t="s">
        <v>7094</v>
      </c>
      <c r="C717" s="1" t="s">
        <v>7093</v>
      </c>
      <c r="D717" s="2" t="str">
        <f t="shared" si="11"/>
        <v>http://zfin.org/ZDB-GENE-031030-12</v>
      </c>
      <c r="E717" s="1" t="s">
        <v>7092</v>
      </c>
      <c r="F717" s="3">
        <v>8.0756709657838198E-6</v>
      </c>
      <c r="G717" s="1">
        <v>-0.58415812446333804</v>
      </c>
      <c r="H717" s="1">
        <v>0.21099999999999999</v>
      </c>
      <c r="I717" s="1">
        <v>0.433</v>
      </c>
      <c r="J717" s="1">
        <v>2</v>
      </c>
    </row>
    <row r="718" spans="1:10" x14ac:dyDescent="0.2">
      <c r="A718" s="1" t="s">
        <v>7091</v>
      </c>
      <c r="B718" s="1" t="s">
        <v>7090</v>
      </c>
      <c r="C718" s="1" t="s">
        <v>7089</v>
      </c>
      <c r="D718" s="2" t="str">
        <f t="shared" si="11"/>
        <v>http://zfin.org/ZDB-GENE-040808-12</v>
      </c>
      <c r="E718" s="1" t="s">
        <v>7088</v>
      </c>
      <c r="F718" s="3">
        <v>8.2829901329789399E-10</v>
      </c>
      <c r="G718" s="1">
        <v>-0.58301596157484503</v>
      </c>
      <c r="H718" s="1">
        <v>0.316</v>
      </c>
      <c r="I718" s="1">
        <v>0.55000000000000004</v>
      </c>
      <c r="J718" s="1">
        <v>2</v>
      </c>
    </row>
    <row r="719" spans="1:10" x14ac:dyDescent="0.2">
      <c r="A719" s="1" t="s">
        <v>7087</v>
      </c>
      <c r="B719" s="1" t="s">
        <v>7086</v>
      </c>
      <c r="C719" s="1" t="s">
        <v>7085</v>
      </c>
      <c r="D719" s="2" t="str">
        <f t="shared" si="11"/>
        <v>http://zfin.org/ZDB-GENE-030131-577</v>
      </c>
      <c r="E719" s="1" t="s">
        <v>7084</v>
      </c>
      <c r="F719" s="1">
        <v>1.39552849625364E-4</v>
      </c>
      <c r="G719" s="1">
        <v>-0.58281562235652595</v>
      </c>
      <c r="H719" s="1">
        <v>6.0999999999999999E-2</v>
      </c>
      <c r="I719" s="1">
        <v>0.25</v>
      </c>
      <c r="J719" s="1">
        <v>2</v>
      </c>
    </row>
    <row r="720" spans="1:10" x14ac:dyDescent="0.2">
      <c r="A720" s="1" t="s">
        <v>7083</v>
      </c>
      <c r="B720" s="1" t="s">
        <v>7082</v>
      </c>
      <c r="C720" s="1" t="s">
        <v>7081</v>
      </c>
      <c r="D720" s="2" t="str">
        <f t="shared" si="11"/>
        <v>http://zfin.org/ZDB-GENE-030131-8284</v>
      </c>
      <c r="E720" s="1" t="s">
        <v>7080</v>
      </c>
      <c r="F720" s="3">
        <v>4.1437647898245702E-11</v>
      </c>
      <c r="G720" s="1">
        <v>-0.58216201392107902</v>
      </c>
      <c r="H720" s="1">
        <v>0.80700000000000005</v>
      </c>
      <c r="I720" s="1">
        <v>0.83299999999999996</v>
      </c>
      <c r="J720" s="1">
        <v>2</v>
      </c>
    </row>
    <row r="721" spans="1:10" x14ac:dyDescent="0.2">
      <c r="A721" s="1" t="s">
        <v>2025</v>
      </c>
      <c r="B721" s="1" t="s">
        <v>2024</v>
      </c>
      <c r="C721" s="1" t="s">
        <v>2023</v>
      </c>
      <c r="D721" s="2" t="str">
        <f t="shared" si="11"/>
        <v>http://zfin.org/ZDB-GENE-030411-5</v>
      </c>
      <c r="E721" s="1" t="s">
        <v>7079</v>
      </c>
      <c r="F721" s="3">
        <v>3.6256489911999101E-8</v>
      </c>
      <c r="G721" s="1">
        <v>-0.581180796012012</v>
      </c>
      <c r="H721" s="1">
        <v>0.78100000000000003</v>
      </c>
      <c r="I721" s="1">
        <v>0.73299999999999998</v>
      </c>
      <c r="J721" s="1">
        <v>2</v>
      </c>
    </row>
    <row r="722" spans="1:10" x14ac:dyDescent="0.2">
      <c r="A722" s="1" t="s">
        <v>460</v>
      </c>
      <c r="B722" s="1" t="s">
        <v>459</v>
      </c>
      <c r="C722" s="1" t="s">
        <v>458</v>
      </c>
      <c r="D722" s="2" t="str">
        <f t="shared" si="11"/>
        <v>http://zfin.org/ZDB-GENE-070424-166</v>
      </c>
      <c r="E722" s="1" t="s">
        <v>7078</v>
      </c>
      <c r="F722" s="3">
        <v>6.6033888055212597E-9</v>
      </c>
      <c r="G722" s="1">
        <v>-0.57972302771815398</v>
      </c>
      <c r="H722" s="1">
        <v>0.68400000000000005</v>
      </c>
      <c r="I722" s="1">
        <v>0.73299999999999998</v>
      </c>
      <c r="J722" s="1">
        <v>2</v>
      </c>
    </row>
    <row r="723" spans="1:10" x14ac:dyDescent="0.2">
      <c r="A723" s="1" t="s">
        <v>7077</v>
      </c>
      <c r="B723" s="1" t="s">
        <v>7076</v>
      </c>
      <c r="C723" s="1" t="s">
        <v>7075</v>
      </c>
      <c r="D723" s="2" t="str">
        <f t="shared" si="11"/>
        <v>http://zfin.org/ZDB-GENE-040718-267</v>
      </c>
      <c r="E723" s="1" t="s">
        <v>7074</v>
      </c>
      <c r="F723" s="3">
        <v>2.56670124087068E-9</v>
      </c>
      <c r="G723" s="1">
        <v>-0.57887386617035397</v>
      </c>
      <c r="H723" s="1">
        <v>0.184</v>
      </c>
      <c r="I723" s="1">
        <v>0.33300000000000002</v>
      </c>
      <c r="J723" s="1">
        <v>2</v>
      </c>
    </row>
    <row r="724" spans="1:10" x14ac:dyDescent="0.2">
      <c r="A724" s="1" t="s">
        <v>7073</v>
      </c>
      <c r="B724" s="1" t="s">
        <v>7072</v>
      </c>
      <c r="C724" s="1" t="s">
        <v>7071</v>
      </c>
      <c r="D724" s="2" t="str">
        <f t="shared" si="11"/>
        <v>http://zfin.org/ZDB-GENE-040718-214</v>
      </c>
      <c r="E724" s="1" t="s">
        <v>7070</v>
      </c>
      <c r="F724" s="3">
        <v>1.8498231756135101E-8</v>
      </c>
      <c r="G724" s="1">
        <v>-0.57741206520726296</v>
      </c>
      <c r="H724" s="1">
        <v>0.439</v>
      </c>
      <c r="I724" s="1">
        <v>0.61699999999999999</v>
      </c>
      <c r="J724" s="1">
        <v>2</v>
      </c>
    </row>
    <row r="725" spans="1:10" x14ac:dyDescent="0.2">
      <c r="A725" s="1" t="s">
        <v>1801</v>
      </c>
      <c r="B725" s="1" t="s">
        <v>1800</v>
      </c>
      <c r="C725" s="1" t="s">
        <v>1799</v>
      </c>
      <c r="D725" s="2" t="str">
        <f t="shared" si="11"/>
        <v>http://zfin.org/ZDB-GENE-021029-1</v>
      </c>
      <c r="E725" s="1" t="s">
        <v>7069</v>
      </c>
      <c r="F725" s="3">
        <v>4.9068658682826602E-8</v>
      </c>
      <c r="G725" s="1">
        <v>-0.57739076222880203</v>
      </c>
      <c r="H725" s="1">
        <v>0.316</v>
      </c>
      <c r="I725" s="1">
        <v>0.48299999999999998</v>
      </c>
      <c r="J725" s="1">
        <v>2</v>
      </c>
    </row>
    <row r="726" spans="1:10" x14ac:dyDescent="0.2">
      <c r="A726" s="1" t="s">
        <v>7068</v>
      </c>
      <c r="B726" s="1" t="s">
        <v>7067</v>
      </c>
      <c r="C726" s="1" t="s">
        <v>7066</v>
      </c>
      <c r="D726" s="2" t="str">
        <f t="shared" si="11"/>
        <v>http://zfin.org/ZDB-GENE-131121-445</v>
      </c>
      <c r="E726" s="1" t="s">
        <v>7065</v>
      </c>
      <c r="F726" s="3">
        <v>3.1225077426623301E-9</v>
      </c>
      <c r="G726" s="1">
        <v>-0.57666037758336397</v>
      </c>
      <c r="H726" s="1">
        <v>0.46500000000000002</v>
      </c>
      <c r="I726" s="1">
        <v>0.6</v>
      </c>
      <c r="J726" s="1">
        <v>2</v>
      </c>
    </row>
    <row r="727" spans="1:10" x14ac:dyDescent="0.2">
      <c r="A727" s="1" t="s">
        <v>332</v>
      </c>
      <c r="B727" s="1" t="s">
        <v>331</v>
      </c>
      <c r="C727" s="1" t="s">
        <v>330</v>
      </c>
      <c r="D727" s="2" t="str">
        <f t="shared" si="11"/>
        <v>http://zfin.org/ZDB-GENE-060201-2</v>
      </c>
      <c r="E727" s="1" t="s">
        <v>7064</v>
      </c>
      <c r="F727" s="3">
        <v>1.8325225628561201E-9</v>
      </c>
      <c r="G727" s="1">
        <v>-0.57585417440311903</v>
      </c>
      <c r="H727" s="1">
        <v>0.45600000000000002</v>
      </c>
      <c r="I727" s="1">
        <v>0.55000000000000004</v>
      </c>
      <c r="J727" s="1">
        <v>2</v>
      </c>
    </row>
    <row r="728" spans="1:10" x14ac:dyDescent="0.2">
      <c r="A728" s="1" t="s">
        <v>536</v>
      </c>
      <c r="B728" s="1" t="s">
        <v>535</v>
      </c>
      <c r="C728" s="1" t="s">
        <v>534</v>
      </c>
      <c r="D728" s="2" t="str">
        <f t="shared" si="11"/>
        <v>http://zfin.org/ZDB-GENE-040426-1687</v>
      </c>
      <c r="E728" s="1" t="s">
        <v>5892</v>
      </c>
      <c r="F728" s="3">
        <v>1.4561836701275499E-5</v>
      </c>
      <c r="G728" s="1">
        <v>-0.57531559191741299</v>
      </c>
      <c r="H728" s="1">
        <v>0.42099999999999999</v>
      </c>
      <c r="I728" s="1">
        <v>0.51700000000000002</v>
      </c>
      <c r="J728" s="1">
        <v>2</v>
      </c>
    </row>
    <row r="729" spans="1:10" x14ac:dyDescent="0.2">
      <c r="A729" s="1" t="s">
        <v>7063</v>
      </c>
      <c r="B729" s="1" t="s">
        <v>7062</v>
      </c>
      <c r="C729" s="1" t="s">
        <v>7061</v>
      </c>
      <c r="D729" s="2" t="str">
        <f t="shared" si="11"/>
        <v>http://zfin.org/ZDB-GENE-031204-3</v>
      </c>
      <c r="E729" s="1" t="s">
        <v>7060</v>
      </c>
      <c r="F729" s="3">
        <v>7.2799255106372894E-5</v>
      </c>
      <c r="G729" s="1">
        <v>-0.57351328934808699</v>
      </c>
      <c r="H729" s="1">
        <v>3.5000000000000003E-2</v>
      </c>
      <c r="I729" s="1">
        <v>0.26700000000000002</v>
      </c>
      <c r="J729" s="1">
        <v>2</v>
      </c>
    </row>
    <row r="730" spans="1:10" x14ac:dyDescent="0.2">
      <c r="A730" s="1" t="s">
        <v>7059</v>
      </c>
      <c r="B730" s="1" t="s">
        <v>7058</v>
      </c>
      <c r="C730" s="1" t="s">
        <v>7057</v>
      </c>
      <c r="D730" s="2" t="str">
        <f t="shared" si="11"/>
        <v>http://zfin.org/ZDB-GENE-050417-32</v>
      </c>
      <c r="E730" s="1" t="s">
        <v>7056</v>
      </c>
      <c r="F730" s="1">
        <v>1.0994470532038701E-4</v>
      </c>
      <c r="G730" s="1">
        <v>-0.57317362317448795</v>
      </c>
      <c r="H730" s="1">
        <v>6.0999999999999999E-2</v>
      </c>
      <c r="I730" s="1">
        <v>0.317</v>
      </c>
      <c r="J730" s="1">
        <v>2</v>
      </c>
    </row>
    <row r="731" spans="1:10" x14ac:dyDescent="0.2">
      <c r="A731" s="1" t="s">
        <v>7055</v>
      </c>
      <c r="B731" s="1" t="s">
        <v>7054</v>
      </c>
      <c r="C731" s="1" t="s">
        <v>7053</v>
      </c>
      <c r="D731" s="2" t="str">
        <f t="shared" si="11"/>
        <v>http://zfin.org/ZDB-GENE-041219-1</v>
      </c>
      <c r="E731" s="1" t="s">
        <v>7052</v>
      </c>
      <c r="F731" s="3">
        <v>1.33732317217425E-8</v>
      </c>
      <c r="G731" s="1">
        <v>-0.57305750520999699</v>
      </c>
      <c r="H731" s="1">
        <v>0.46500000000000002</v>
      </c>
      <c r="I731" s="1">
        <v>0.61699999999999999</v>
      </c>
      <c r="J731" s="1">
        <v>2</v>
      </c>
    </row>
    <row r="732" spans="1:10" x14ac:dyDescent="0.2">
      <c r="A732" s="1" t="s">
        <v>7051</v>
      </c>
      <c r="B732" s="1" t="s">
        <v>7050</v>
      </c>
      <c r="C732" s="1" t="s">
        <v>7049</v>
      </c>
      <c r="D732" s="2" t="str">
        <f t="shared" si="11"/>
        <v>http://zfin.org/</v>
      </c>
      <c r="E732" s="1" t="s">
        <v>4625</v>
      </c>
      <c r="F732" s="3">
        <v>6.7391405133371504E-5</v>
      </c>
      <c r="G732" s="1">
        <v>-0.57235793806147695</v>
      </c>
      <c r="H732" s="1">
        <v>0.14000000000000001</v>
      </c>
      <c r="I732" s="1">
        <v>0.36699999999999999</v>
      </c>
      <c r="J732" s="1">
        <v>2</v>
      </c>
    </row>
    <row r="733" spans="1:10" x14ac:dyDescent="0.2">
      <c r="A733" s="1" t="s">
        <v>7048</v>
      </c>
      <c r="B733" s="1" t="s">
        <v>7047</v>
      </c>
      <c r="C733" s="1" t="s">
        <v>7046</v>
      </c>
      <c r="D733" s="2" t="str">
        <f t="shared" si="11"/>
        <v>http://zfin.org/ZDB-GENE-040426-1758</v>
      </c>
      <c r="E733" s="1" t="s">
        <v>7045</v>
      </c>
      <c r="F733" s="1">
        <v>3.2295226083113999E-4</v>
      </c>
      <c r="G733" s="1">
        <v>-0.57232396961355403</v>
      </c>
      <c r="H733" s="1">
        <v>0.105</v>
      </c>
      <c r="I733" s="1">
        <v>0.33300000000000002</v>
      </c>
      <c r="J733" s="1">
        <v>2</v>
      </c>
    </row>
    <row r="734" spans="1:10" x14ac:dyDescent="0.2">
      <c r="A734" s="1" t="s">
        <v>3327</v>
      </c>
      <c r="B734" s="1" t="s">
        <v>3326</v>
      </c>
      <c r="C734" s="1" t="s">
        <v>3325</v>
      </c>
      <c r="D734" s="2" t="str">
        <f t="shared" si="11"/>
        <v>http://zfin.org/ZDB-GENE-030131-533</v>
      </c>
      <c r="E734" s="1" t="s">
        <v>7044</v>
      </c>
      <c r="F734" s="3">
        <v>2.28799729300476E-8</v>
      </c>
      <c r="G734" s="1">
        <v>-0.57145161572821201</v>
      </c>
      <c r="H734" s="1">
        <v>0.219</v>
      </c>
      <c r="I734" s="1">
        <v>0.48299999999999998</v>
      </c>
      <c r="J734" s="1">
        <v>2</v>
      </c>
    </row>
    <row r="735" spans="1:10" x14ac:dyDescent="0.2">
      <c r="A735" s="1" t="s">
        <v>7043</v>
      </c>
      <c r="B735" s="1" t="s">
        <v>7042</v>
      </c>
      <c r="C735" s="1" t="s">
        <v>7041</v>
      </c>
      <c r="D735" s="2" t="str">
        <f t="shared" si="11"/>
        <v>http://zfin.org/ZDB-GENE-040516-3</v>
      </c>
      <c r="E735" s="1" t="s">
        <v>7040</v>
      </c>
      <c r="F735" s="3">
        <v>8.9105941577743208E-6</v>
      </c>
      <c r="G735" s="1">
        <v>-0.57084036173848796</v>
      </c>
      <c r="H735" s="1">
        <v>0.316</v>
      </c>
      <c r="I735" s="1">
        <v>0.6</v>
      </c>
      <c r="J735" s="1">
        <v>2</v>
      </c>
    </row>
    <row r="736" spans="1:10" x14ac:dyDescent="0.2">
      <c r="A736" s="1" t="s">
        <v>7039</v>
      </c>
      <c r="B736" s="1" t="s">
        <v>7038</v>
      </c>
      <c r="C736" s="1" t="s">
        <v>7037</v>
      </c>
      <c r="D736" s="2" t="str">
        <f t="shared" si="11"/>
        <v>http://zfin.org/ZDB-GENE-040426-1016</v>
      </c>
      <c r="E736" s="1" t="s">
        <v>7036</v>
      </c>
      <c r="F736" s="3">
        <v>8.5372127012818099E-8</v>
      </c>
      <c r="G736" s="1">
        <v>-0.56925668941500795</v>
      </c>
      <c r="H736" s="1">
        <v>0.123</v>
      </c>
      <c r="I736" s="1">
        <v>0.4</v>
      </c>
      <c r="J736" s="1">
        <v>2</v>
      </c>
    </row>
    <row r="737" spans="1:10" x14ac:dyDescent="0.2">
      <c r="A737" s="1" t="s">
        <v>7035</v>
      </c>
      <c r="B737" s="1" t="s">
        <v>7034</v>
      </c>
      <c r="C737" s="1" t="s">
        <v>7033</v>
      </c>
      <c r="D737" s="2" t="str">
        <f t="shared" si="11"/>
        <v>http://zfin.org/ZDB-GENE-050522-477</v>
      </c>
      <c r="E737" s="1" t="s">
        <v>7032</v>
      </c>
      <c r="F737" s="3">
        <v>1.9890459134270599E-10</v>
      </c>
      <c r="G737" s="1">
        <v>-0.56837953605747404</v>
      </c>
      <c r="H737" s="1">
        <v>0.22800000000000001</v>
      </c>
      <c r="I737" s="1">
        <v>0.41699999999999998</v>
      </c>
      <c r="J737" s="1">
        <v>2</v>
      </c>
    </row>
    <row r="738" spans="1:10" x14ac:dyDescent="0.2">
      <c r="A738" s="1" t="s">
        <v>7031</v>
      </c>
      <c r="B738" s="1" t="s">
        <v>7030</v>
      </c>
      <c r="C738" s="1" t="s">
        <v>7029</v>
      </c>
      <c r="D738" s="2" t="str">
        <f t="shared" si="11"/>
        <v>http://zfin.org/ZDB-GENE-050720-2</v>
      </c>
      <c r="E738" s="1" t="s">
        <v>7028</v>
      </c>
      <c r="F738" s="3">
        <v>6.3998267143836299E-7</v>
      </c>
      <c r="G738" s="1">
        <v>-0.56653334326167504</v>
      </c>
      <c r="H738" s="1">
        <v>0.35099999999999998</v>
      </c>
      <c r="I738" s="1">
        <v>0.433</v>
      </c>
      <c r="J738" s="1">
        <v>2</v>
      </c>
    </row>
    <row r="739" spans="1:10" x14ac:dyDescent="0.2">
      <c r="A739" s="1" t="s">
        <v>3076</v>
      </c>
      <c r="B739" s="1" t="s">
        <v>3075</v>
      </c>
      <c r="C739" s="1" t="s">
        <v>3074</v>
      </c>
      <c r="D739" s="2" t="str">
        <f t="shared" si="11"/>
        <v>http://zfin.org/ZDB-GENE-030131-9670</v>
      </c>
      <c r="E739" s="1" t="s">
        <v>7027</v>
      </c>
      <c r="F739" s="3">
        <v>3.5026846675407301E-7</v>
      </c>
      <c r="G739" s="1">
        <v>-0.56366395724604901</v>
      </c>
      <c r="H739" s="1">
        <v>0.20200000000000001</v>
      </c>
      <c r="I739" s="1">
        <v>0.433</v>
      </c>
      <c r="J739" s="1">
        <v>2</v>
      </c>
    </row>
    <row r="740" spans="1:10" x14ac:dyDescent="0.2">
      <c r="A740" s="1" t="s">
        <v>7026</v>
      </c>
      <c r="B740" s="1" t="s">
        <v>7025</v>
      </c>
      <c r="C740" s="1" t="s">
        <v>7024</v>
      </c>
      <c r="D740" s="2" t="str">
        <f t="shared" si="11"/>
        <v>http://zfin.org/ZDB-GENE-030131-3724</v>
      </c>
      <c r="E740" s="1" t="s">
        <v>7023</v>
      </c>
      <c r="F740" s="3">
        <v>4.1098721900020998E-7</v>
      </c>
      <c r="G740" s="1">
        <v>-0.56315596696886905</v>
      </c>
      <c r="H740" s="1">
        <v>0.42099999999999999</v>
      </c>
      <c r="I740" s="1">
        <v>0.63300000000000001</v>
      </c>
      <c r="J740" s="1">
        <v>2</v>
      </c>
    </row>
    <row r="741" spans="1:10" x14ac:dyDescent="0.2">
      <c r="A741" s="1" t="s">
        <v>7022</v>
      </c>
      <c r="B741" s="1" t="s">
        <v>7021</v>
      </c>
      <c r="D741" s="2" t="str">
        <f t="shared" si="11"/>
        <v>http://zfin.org/</v>
      </c>
      <c r="E741" s="1" t="s">
        <v>4625</v>
      </c>
      <c r="F741" s="1">
        <v>4.8688209946982501E-4</v>
      </c>
      <c r="G741" s="1">
        <v>-0.56196543741731997</v>
      </c>
      <c r="H741" s="1">
        <v>8.7999999999999995E-2</v>
      </c>
      <c r="I741" s="1">
        <v>0.33300000000000002</v>
      </c>
      <c r="J741" s="1">
        <v>2</v>
      </c>
    </row>
    <row r="742" spans="1:10" x14ac:dyDescent="0.2">
      <c r="A742" s="1" t="s">
        <v>7020</v>
      </c>
      <c r="B742" s="1" t="s">
        <v>7019</v>
      </c>
      <c r="C742" s="1" t="s">
        <v>7018</v>
      </c>
      <c r="D742" s="2" t="str">
        <f t="shared" si="11"/>
        <v>http://zfin.org/ZDB-GENE-040426-957</v>
      </c>
      <c r="E742" s="1" t="s">
        <v>7017</v>
      </c>
      <c r="F742" s="3">
        <v>9.1790765003874103E-8</v>
      </c>
      <c r="G742" s="1">
        <v>-0.56174540518921801</v>
      </c>
      <c r="H742" s="1">
        <v>0.23699999999999999</v>
      </c>
      <c r="I742" s="1">
        <v>0.45</v>
      </c>
      <c r="J742" s="1">
        <v>2</v>
      </c>
    </row>
    <row r="743" spans="1:10" x14ac:dyDescent="0.2">
      <c r="A743" s="1" t="s">
        <v>3315</v>
      </c>
      <c r="B743" s="1" t="s">
        <v>3314</v>
      </c>
      <c r="C743" s="1" t="s">
        <v>3313</v>
      </c>
      <c r="D743" s="2" t="str">
        <f t="shared" si="11"/>
        <v>http://zfin.org/ZDB-GENE-030131-9796</v>
      </c>
      <c r="E743" s="1" t="s">
        <v>7016</v>
      </c>
      <c r="F743" s="3">
        <v>1.0919826154290101E-8</v>
      </c>
      <c r="G743" s="1">
        <v>-0.55851884360366399</v>
      </c>
      <c r="H743" s="1">
        <v>0.877</v>
      </c>
      <c r="I743" s="1">
        <v>0.88300000000000001</v>
      </c>
      <c r="J743" s="1">
        <v>2</v>
      </c>
    </row>
    <row r="744" spans="1:10" x14ac:dyDescent="0.2">
      <c r="A744" s="1" t="s">
        <v>1621</v>
      </c>
      <c r="B744" s="1" t="s">
        <v>1620</v>
      </c>
      <c r="C744" s="1" t="s">
        <v>1619</v>
      </c>
      <c r="D744" s="2" t="str">
        <f t="shared" si="11"/>
        <v>http://zfin.org/ZDB-GENE-081104-272</v>
      </c>
      <c r="E744" s="1" t="s">
        <v>7015</v>
      </c>
      <c r="F744" s="3">
        <v>4.1987152489348696E-9</v>
      </c>
      <c r="G744" s="1">
        <v>-0.55624535951146103</v>
      </c>
      <c r="H744" s="1">
        <v>0.61399999999999999</v>
      </c>
      <c r="I744" s="1">
        <v>0.68300000000000005</v>
      </c>
      <c r="J744" s="1">
        <v>2</v>
      </c>
    </row>
    <row r="745" spans="1:10" x14ac:dyDescent="0.2">
      <c r="A745" s="1" t="s">
        <v>3454</v>
      </c>
      <c r="B745" s="1" t="s">
        <v>3453</v>
      </c>
      <c r="C745" s="1" t="s">
        <v>3452</v>
      </c>
      <c r="D745" s="2" t="str">
        <f t="shared" si="11"/>
        <v>http://zfin.org/ZDB-GENE-020419-36</v>
      </c>
      <c r="E745" s="1" t="s">
        <v>7014</v>
      </c>
      <c r="F745" s="1">
        <v>1.6442869338115199E-4</v>
      </c>
      <c r="G745" s="1">
        <v>-0.55403727168494699</v>
      </c>
      <c r="H745" s="1">
        <v>9.6000000000000002E-2</v>
      </c>
      <c r="I745" s="1">
        <v>0.33300000000000002</v>
      </c>
      <c r="J745" s="1">
        <v>2</v>
      </c>
    </row>
    <row r="746" spans="1:10" x14ac:dyDescent="0.2">
      <c r="A746" s="1" t="s">
        <v>7013</v>
      </c>
      <c r="B746" s="1" t="s">
        <v>7012</v>
      </c>
      <c r="C746" s="1" t="s">
        <v>7011</v>
      </c>
      <c r="D746" s="2" t="str">
        <f t="shared" si="11"/>
        <v>http://zfin.org/ZDB-GENE-060825-166</v>
      </c>
      <c r="E746" s="1" t="s">
        <v>7010</v>
      </c>
      <c r="F746" s="3">
        <v>1.9461416688332101E-6</v>
      </c>
      <c r="G746" s="1">
        <v>-0.55044429873243494</v>
      </c>
      <c r="H746" s="1">
        <v>0.28899999999999998</v>
      </c>
      <c r="I746" s="1">
        <v>0.45</v>
      </c>
      <c r="J746" s="1">
        <v>2</v>
      </c>
    </row>
    <row r="747" spans="1:10" x14ac:dyDescent="0.2">
      <c r="A747" s="1" t="s">
        <v>7009</v>
      </c>
      <c r="B747" s="1" t="s">
        <v>7008</v>
      </c>
      <c r="C747" s="1" t="s">
        <v>7007</v>
      </c>
      <c r="D747" s="2" t="str">
        <f t="shared" si="11"/>
        <v>http://zfin.org/ZDB-GENE-120201-2</v>
      </c>
      <c r="E747" s="1" t="s">
        <v>7006</v>
      </c>
      <c r="F747" s="3">
        <v>2.5653719567789199E-7</v>
      </c>
      <c r="G747" s="1">
        <v>-0.54911660958312802</v>
      </c>
      <c r="H747" s="1">
        <v>0.26300000000000001</v>
      </c>
      <c r="I747" s="1">
        <v>0.46700000000000003</v>
      </c>
      <c r="J747" s="1">
        <v>2</v>
      </c>
    </row>
    <row r="748" spans="1:10" x14ac:dyDescent="0.2">
      <c r="A748" s="1" t="s">
        <v>1368</v>
      </c>
      <c r="B748" s="1" t="s">
        <v>1367</v>
      </c>
      <c r="C748" s="1" t="s">
        <v>1366</v>
      </c>
      <c r="D748" s="2" t="str">
        <f t="shared" si="11"/>
        <v>http://zfin.org/ZDB-GENE-030131-8567</v>
      </c>
      <c r="E748" s="1" t="s">
        <v>7005</v>
      </c>
      <c r="F748" s="3">
        <v>1.27012540361427E-5</v>
      </c>
      <c r="G748" s="1">
        <v>-0.54813283048343997</v>
      </c>
      <c r="H748" s="1">
        <v>0.51800000000000002</v>
      </c>
      <c r="I748" s="1">
        <v>0.68300000000000005</v>
      </c>
      <c r="J748" s="1">
        <v>2</v>
      </c>
    </row>
    <row r="749" spans="1:10" x14ac:dyDescent="0.2">
      <c r="A749" s="1" t="s">
        <v>7004</v>
      </c>
      <c r="B749" s="1" t="s">
        <v>7003</v>
      </c>
      <c r="C749" s="1" t="s">
        <v>7002</v>
      </c>
      <c r="D749" s="2" t="str">
        <f t="shared" si="11"/>
        <v>http://zfin.org/ZDB-GENE-040808-48</v>
      </c>
      <c r="E749" s="1" t="s">
        <v>7001</v>
      </c>
      <c r="F749" s="3">
        <v>2.4353421019465398E-7</v>
      </c>
      <c r="G749" s="1">
        <v>-0.54702812126321099</v>
      </c>
      <c r="H749" s="1">
        <v>0.47399999999999998</v>
      </c>
      <c r="I749" s="1">
        <v>0.61699999999999999</v>
      </c>
      <c r="J749" s="1">
        <v>2</v>
      </c>
    </row>
    <row r="750" spans="1:10" x14ac:dyDescent="0.2">
      <c r="A750" s="1" t="s">
        <v>7000</v>
      </c>
      <c r="B750" s="1" t="s">
        <v>6999</v>
      </c>
      <c r="C750" s="1" t="s">
        <v>6998</v>
      </c>
      <c r="D750" s="2" t="str">
        <f t="shared" si="11"/>
        <v>http://zfin.org/ZDB-GENE-990415-88</v>
      </c>
      <c r="E750" s="1" t="s">
        <v>6997</v>
      </c>
      <c r="F750" s="3">
        <v>2.5569246065905399E-12</v>
      </c>
      <c r="G750" s="1">
        <v>-0.54542786338225802</v>
      </c>
      <c r="H750" s="1">
        <v>0.86</v>
      </c>
      <c r="I750" s="1">
        <v>0.76700000000000002</v>
      </c>
      <c r="J750" s="1">
        <v>2</v>
      </c>
    </row>
    <row r="751" spans="1:10" x14ac:dyDescent="0.2">
      <c r="A751" s="1" t="s">
        <v>6996</v>
      </c>
      <c r="B751" s="1" t="s">
        <v>6995</v>
      </c>
      <c r="C751" s="1" t="s">
        <v>6994</v>
      </c>
      <c r="D751" s="2" t="str">
        <f t="shared" si="11"/>
        <v>http://zfin.org/ZDB-GENE-040426-2881</v>
      </c>
      <c r="E751" s="1" t="s">
        <v>6993</v>
      </c>
      <c r="F751" s="3">
        <v>1.3086044333645E-6</v>
      </c>
      <c r="G751" s="1">
        <v>-0.544403365931311</v>
      </c>
      <c r="H751" s="1">
        <v>0.27200000000000002</v>
      </c>
      <c r="I751" s="1">
        <v>0.46700000000000003</v>
      </c>
      <c r="J751" s="1">
        <v>2</v>
      </c>
    </row>
    <row r="752" spans="1:10" x14ac:dyDescent="0.2">
      <c r="A752" s="1" t="s">
        <v>6992</v>
      </c>
      <c r="B752" s="1" t="s">
        <v>6991</v>
      </c>
      <c r="C752" s="1" t="s">
        <v>6990</v>
      </c>
      <c r="D752" s="2" t="str">
        <f t="shared" si="11"/>
        <v>http://zfin.org/ZDB-GENE-060312-32</v>
      </c>
      <c r="E752" s="1" t="s">
        <v>6989</v>
      </c>
      <c r="F752" s="3">
        <v>1.40384334151065E-5</v>
      </c>
      <c r="G752" s="1">
        <v>-0.54281784128543198</v>
      </c>
      <c r="H752" s="1">
        <v>0.22800000000000001</v>
      </c>
      <c r="I752" s="1">
        <v>0.5</v>
      </c>
      <c r="J752" s="1">
        <v>2</v>
      </c>
    </row>
    <row r="753" spans="1:10" x14ac:dyDescent="0.2">
      <c r="A753" s="1" t="s">
        <v>6988</v>
      </c>
      <c r="B753" s="1" t="s">
        <v>6987</v>
      </c>
      <c r="C753" s="1" t="s">
        <v>6986</v>
      </c>
      <c r="D753" s="2" t="str">
        <f t="shared" si="11"/>
        <v>http://zfin.org/ZDB-GENE-080515-6</v>
      </c>
      <c r="E753" s="1" t="s">
        <v>6985</v>
      </c>
      <c r="F753" s="3">
        <v>1.01180981826765E-15</v>
      </c>
      <c r="G753" s="1">
        <v>-0.54024026009531001</v>
      </c>
      <c r="H753" s="1">
        <v>0.5</v>
      </c>
      <c r="I753" s="1">
        <v>0.65</v>
      </c>
      <c r="J753" s="1">
        <v>2</v>
      </c>
    </row>
    <row r="754" spans="1:10" x14ac:dyDescent="0.2">
      <c r="A754" s="1" t="s">
        <v>4343</v>
      </c>
      <c r="B754" s="1" t="s">
        <v>4342</v>
      </c>
      <c r="C754" s="1" t="s">
        <v>4341</v>
      </c>
      <c r="D754" s="2" t="str">
        <f t="shared" si="11"/>
        <v>http://zfin.org/ZDB-GENE-040426-2206</v>
      </c>
      <c r="E754" s="1" t="s">
        <v>6984</v>
      </c>
      <c r="F754" s="3">
        <v>1.56119128049774E-7</v>
      </c>
      <c r="G754" s="1">
        <v>-0.54014518802300804</v>
      </c>
      <c r="H754" s="1">
        <v>0.48199999999999998</v>
      </c>
      <c r="I754" s="1">
        <v>0.7</v>
      </c>
      <c r="J754" s="1">
        <v>2</v>
      </c>
    </row>
    <row r="755" spans="1:10" x14ac:dyDescent="0.2">
      <c r="A755" s="1" t="s">
        <v>6983</v>
      </c>
      <c r="B755" s="1" t="s">
        <v>839</v>
      </c>
      <c r="C755" s="1" t="s">
        <v>838</v>
      </c>
      <c r="D755" s="2" t="str">
        <f t="shared" si="11"/>
        <v>http://zfin.org/ZDB-GENE-050417-65</v>
      </c>
      <c r="E755" s="1" t="s">
        <v>5026</v>
      </c>
      <c r="F755" s="3">
        <v>4.9544876662080301E-11</v>
      </c>
      <c r="G755" s="1">
        <v>-0.53941557331371703</v>
      </c>
      <c r="H755" s="1">
        <v>0.96499999999999997</v>
      </c>
      <c r="I755" s="1">
        <v>0.93300000000000005</v>
      </c>
      <c r="J755" s="1">
        <v>2</v>
      </c>
    </row>
    <row r="756" spans="1:10" x14ac:dyDescent="0.2">
      <c r="A756" s="1" t="s">
        <v>1901</v>
      </c>
      <c r="B756" s="1" t="s">
        <v>1900</v>
      </c>
      <c r="C756" s="1" t="s">
        <v>1899</v>
      </c>
      <c r="D756" s="2" t="str">
        <f t="shared" si="11"/>
        <v>http://zfin.org/ZDB-GENE-030131-7452</v>
      </c>
      <c r="E756" s="1" t="s">
        <v>6982</v>
      </c>
      <c r="F756" s="3">
        <v>3.4118394101767701E-5</v>
      </c>
      <c r="G756" s="1">
        <v>-0.53850359205383702</v>
      </c>
      <c r="H756" s="1">
        <v>0.20200000000000001</v>
      </c>
      <c r="I756" s="1">
        <v>0.41699999999999998</v>
      </c>
      <c r="J756" s="1">
        <v>2</v>
      </c>
    </row>
    <row r="757" spans="1:10" x14ac:dyDescent="0.2">
      <c r="A757" s="1" t="s">
        <v>6981</v>
      </c>
      <c r="B757" s="1" t="s">
        <v>6980</v>
      </c>
      <c r="C757" s="1" t="s">
        <v>6979</v>
      </c>
      <c r="D757" s="2" t="str">
        <f t="shared" si="11"/>
        <v>http://zfin.org/ZDB-GENE-040426-1109</v>
      </c>
      <c r="E757" s="1" t="s">
        <v>6978</v>
      </c>
      <c r="F757" s="3">
        <v>2.3969621338895001E-6</v>
      </c>
      <c r="G757" s="1">
        <v>-0.53578308700542598</v>
      </c>
      <c r="H757" s="1">
        <v>0.33300000000000002</v>
      </c>
      <c r="I757" s="1">
        <v>0.48299999999999998</v>
      </c>
      <c r="J757" s="1">
        <v>2</v>
      </c>
    </row>
    <row r="758" spans="1:10" x14ac:dyDescent="0.2">
      <c r="A758" s="1" t="s">
        <v>6977</v>
      </c>
      <c r="B758" s="1" t="s">
        <v>6976</v>
      </c>
      <c r="C758" s="1" t="s">
        <v>6975</v>
      </c>
      <c r="D758" s="2" t="str">
        <f t="shared" si="11"/>
        <v>http://zfin.org/ZDB-GENE-070330-1</v>
      </c>
      <c r="E758" s="1" t="s">
        <v>6974</v>
      </c>
      <c r="F758" s="1">
        <v>4.3217940306986501E-4</v>
      </c>
      <c r="G758" s="1">
        <v>-0.53528576539789197</v>
      </c>
      <c r="H758" s="1">
        <v>8.9999999999999993E-3</v>
      </c>
      <c r="I758" s="1">
        <v>0.183</v>
      </c>
      <c r="J758" s="1">
        <v>2</v>
      </c>
    </row>
    <row r="759" spans="1:10" x14ac:dyDescent="0.2">
      <c r="A759" s="1" t="s">
        <v>6973</v>
      </c>
      <c r="B759" s="1" t="s">
        <v>6972</v>
      </c>
      <c r="C759" s="1" t="s">
        <v>6971</v>
      </c>
      <c r="D759" s="2" t="str">
        <f t="shared" si="11"/>
        <v>http://zfin.org/ZDB-GENE-030131-2841</v>
      </c>
      <c r="E759" s="1" t="s">
        <v>6970</v>
      </c>
      <c r="F759" s="3">
        <v>8.3915832831172595E-10</v>
      </c>
      <c r="G759" s="1">
        <v>-0.53502921027318595</v>
      </c>
      <c r="H759" s="1">
        <v>0.219</v>
      </c>
      <c r="I759" s="1">
        <v>0.4</v>
      </c>
      <c r="J759" s="1">
        <v>2</v>
      </c>
    </row>
    <row r="760" spans="1:10" x14ac:dyDescent="0.2">
      <c r="A760" s="1" t="s">
        <v>1988</v>
      </c>
      <c r="B760" s="1" t="s">
        <v>1987</v>
      </c>
      <c r="C760" s="1" t="s">
        <v>1986</v>
      </c>
      <c r="D760" s="2" t="str">
        <f t="shared" si="11"/>
        <v>http://zfin.org/ZDB-GENE-030131-4900</v>
      </c>
      <c r="E760" s="1" t="s">
        <v>6969</v>
      </c>
      <c r="F760" s="3">
        <v>1.2102127975908301E-6</v>
      </c>
      <c r="G760" s="1">
        <v>-0.53481480043264096</v>
      </c>
      <c r="H760" s="1">
        <v>0.50900000000000001</v>
      </c>
      <c r="I760" s="1">
        <v>0.6</v>
      </c>
      <c r="J760" s="1">
        <v>2</v>
      </c>
    </row>
    <row r="761" spans="1:10" x14ac:dyDescent="0.2">
      <c r="A761" s="1" t="s">
        <v>6968</v>
      </c>
      <c r="B761" s="1" t="s">
        <v>6967</v>
      </c>
      <c r="C761" s="1" t="s">
        <v>6966</v>
      </c>
      <c r="D761" s="2" t="str">
        <f t="shared" si="11"/>
        <v>http://zfin.org/ZDB-GENE-030724-6</v>
      </c>
      <c r="E761" s="1" t="s">
        <v>6965</v>
      </c>
      <c r="F761" s="3">
        <v>6.52996222477114E-6</v>
      </c>
      <c r="G761" s="1">
        <v>-0.53341907131890198</v>
      </c>
      <c r="H761" s="1">
        <v>0.193</v>
      </c>
      <c r="I761" s="1">
        <v>0.433</v>
      </c>
      <c r="J761" s="1">
        <v>2</v>
      </c>
    </row>
    <row r="762" spans="1:10" x14ac:dyDescent="0.2">
      <c r="A762" s="1" t="s">
        <v>6964</v>
      </c>
      <c r="B762" s="1" t="s">
        <v>6963</v>
      </c>
      <c r="C762" s="1" t="s">
        <v>6962</v>
      </c>
      <c r="D762" s="2" t="str">
        <f t="shared" si="11"/>
        <v>http://zfin.org/ZDB-GENE-050327-93</v>
      </c>
      <c r="E762" s="1" t="s">
        <v>6961</v>
      </c>
      <c r="F762" s="3">
        <v>7.6196402132375698E-6</v>
      </c>
      <c r="G762" s="1">
        <v>-0.531916441778571</v>
      </c>
      <c r="H762" s="1">
        <v>0.754</v>
      </c>
      <c r="I762" s="1">
        <v>0.85</v>
      </c>
      <c r="J762" s="1">
        <v>2</v>
      </c>
    </row>
    <row r="763" spans="1:10" x14ac:dyDescent="0.2">
      <c r="A763" s="1" t="s">
        <v>1873</v>
      </c>
      <c r="B763" s="1" t="s">
        <v>1872</v>
      </c>
      <c r="C763" s="1" t="s">
        <v>1871</v>
      </c>
      <c r="D763" s="2" t="str">
        <f t="shared" si="11"/>
        <v>http://zfin.org/ZDB-GENE-030131-6858</v>
      </c>
      <c r="E763" s="1" t="s">
        <v>6960</v>
      </c>
      <c r="F763" s="3">
        <v>1.53585990630839E-8</v>
      </c>
      <c r="G763" s="1">
        <v>-0.53124588617044299</v>
      </c>
      <c r="H763" s="1">
        <v>0.316</v>
      </c>
      <c r="I763" s="1">
        <v>0.51700000000000002</v>
      </c>
      <c r="J763" s="1">
        <v>2</v>
      </c>
    </row>
    <row r="764" spans="1:10" x14ac:dyDescent="0.2">
      <c r="A764" s="1" t="s">
        <v>6959</v>
      </c>
      <c r="B764" s="1" t="s">
        <v>6958</v>
      </c>
      <c r="C764" s="1" t="s">
        <v>6957</v>
      </c>
      <c r="D764" s="2" t="str">
        <f t="shared" si="11"/>
        <v>http://zfin.org/ZDB-GENE-030128-3</v>
      </c>
      <c r="E764" s="1" t="s">
        <v>6956</v>
      </c>
      <c r="F764" s="3">
        <v>1.17445825294099E-7</v>
      </c>
      <c r="G764" s="1">
        <v>-0.53043173599000903</v>
      </c>
      <c r="H764" s="1">
        <v>0.16700000000000001</v>
      </c>
      <c r="I764" s="1">
        <v>0.41699999999999998</v>
      </c>
      <c r="J764" s="1">
        <v>2</v>
      </c>
    </row>
    <row r="765" spans="1:10" x14ac:dyDescent="0.2">
      <c r="A765" s="1" t="s">
        <v>157</v>
      </c>
      <c r="B765" s="1" t="s">
        <v>156</v>
      </c>
      <c r="C765" s="1" t="s">
        <v>158</v>
      </c>
      <c r="D765" s="2" t="str">
        <f t="shared" si="11"/>
        <v>http://zfin.org/ZDB-GENE-141222-6</v>
      </c>
      <c r="E765" s="1" t="s">
        <v>6955</v>
      </c>
      <c r="F765" s="3">
        <v>5.0799036911963001E-7</v>
      </c>
      <c r="G765" s="1">
        <v>-0.52942401198302302</v>
      </c>
      <c r="H765" s="1">
        <v>0.69299999999999995</v>
      </c>
      <c r="I765" s="1">
        <v>0.8</v>
      </c>
      <c r="J765" s="1">
        <v>2</v>
      </c>
    </row>
    <row r="766" spans="1:10" x14ac:dyDescent="0.2">
      <c r="A766" s="1" t="s">
        <v>3049</v>
      </c>
      <c r="B766" s="1" t="s">
        <v>3048</v>
      </c>
      <c r="C766" s="1" t="s">
        <v>3047</v>
      </c>
      <c r="D766" s="2" t="str">
        <f t="shared" si="11"/>
        <v>http://zfin.org/ZDB-GENE-030521-13</v>
      </c>
      <c r="E766" s="1" t="s">
        <v>6954</v>
      </c>
      <c r="F766" s="3">
        <v>6.4568116401926598E-6</v>
      </c>
      <c r="G766" s="1">
        <v>-0.52935095379235697</v>
      </c>
      <c r="H766" s="1">
        <v>0.754</v>
      </c>
      <c r="I766" s="1">
        <v>0.76700000000000002</v>
      </c>
      <c r="J766" s="1">
        <v>2</v>
      </c>
    </row>
    <row r="767" spans="1:10" x14ac:dyDescent="0.2">
      <c r="A767" s="1" t="s">
        <v>6953</v>
      </c>
      <c r="B767" s="1" t="s">
        <v>6952</v>
      </c>
      <c r="C767" s="1" t="s">
        <v>6951</v>
      </c>
      <c r="D767" s="2" t="str">
        <f t="shared" si="11"/>
        <v>http://zfin.org/ZDB-GENE-030131-7135</v>
      </c>
      <c r="E767" s="1" t="s">
        <v>6950</v>
      </c>
      <c r="F767" s="3">
        <v>3.6681578821561099E-5</v>
      </c>
      <c r="G767" s="1">
        <v>-0.52886105058006705</v>
      </c>
      <c r="H767" s="1">
        <v>0.43</v>
      </c>
      <c r="I767" s="1">
        <v>0.7</v>
      </c>
      <c r="J767" s="1">
        <v>2</v>
      </c>
    </row>
    <row r="768" spans="1:10" x14ac:dyDescent="0.2">
      <c r="A768" s="1" t="s">
        <v>2483</v>
      </c>
      <c r="B768" s="1" t="s">
        <v>2482</v>
      </c>
      <c r="C768" s="1" t="s">
        <v>2481</v>
      </c>
      <c r="D768" s="2" t="str">
        <f t="shared" si="11"/>
        <v>http://zfin.org/ZDB-GENE-030131-8554</v>
      </c>
      <c r="E768" s="1" t="s">
        <v>6949</v>
      </c>
      <c r="F768" s="3">
        <v>2.48309543500704E-5</v>
      </c>
      <c r="G768" s="1">
        <v>-0.52863148707626095</v>
      </c>
      <c r="H768" s="1">
        <v>0.36</v>
      </c>
      <c r="I768" s="1">
        <v>0.56699999999999995</v>
      </c>
      <c r="J768" s="1">
        <v>2</v>
      </c>
    </row>
    <row r="769" spans="1:10" x14ac:dyDescent="0.2">
      <c r="A769" s="1" t="s">
        <v>6948</v>
      </c>
      <c r="B769" s="1" t="s">
        <v>6947</v>
      </c>
      <c r="C769" s="1" t="s">
        <v>6946</v>
      </c>
      <c r="D769" s="2" t="str">
        <f t="shared" si="11"/>
        <v>http://zfin.org/ZDB-GENE-040912-93</v>
      </c>
      <c r="E769" s="1" t="s">
        <v>6945</v>
      </c>
      <c r="F769" s="3">
        <v>3.7287973135508696E-12</v>
      </c>
      <c r="G769" s="1">
        <v>-0.528471820563432</v>
      </c>
      <c r="H769" s="1">
        <v>0.27200000000000002</v>
      </c>
      <c r="I769" s="1">
        <v>0.38300000000000001</v>
      </c>
      <c r="J769" s="1">
        <v>2</v>
      </c>
    </row>
    <row r="770" spans="1:10" x14ac:dyDescent="0.2">
      <c r="A770" s="1" t="s">
        <v>2780</v>
      </c>
      <c r="B770" s="1" t="s">
        <v>2779</v>
      </c>
      <c r="C770" s="1" t="s">
        <v>2778</v>
      </c>
      <c r="D770" s="2" t="str">
        <f t="shared" ref="D770:D833" si="12">HYPERLINK(E770)</f>
        <v>http://zfin.org/ZDB-GENE-080804-1</v>
      </c>
      <c r="E770" s="1" t="s">
        <v>6944</v>
      </c>
      <c r="F770" s="3">
        <v>7.8561790914501704E-9</v>
      </c>
      <c r="G770" s="1">
        <v>-0.52701106552196897</v>
      </c>
      <c r="H770" s="1">
        <v>3.5000000000000003E-2</v>
      </c>
      <c r="I770" s="1">
        <v>0.317</v>
      </c>
      <c r="J770" s="1">
        <v>2</v>
      </c>
    </row>
    <row r="771" spans="1:10" x14ac:dyDescent="0.2">
      <c r="A771" s="1" t="s">
        <v>145</v>
      </c>
      <c r="B771" s="1" t="s">
        <v>144</v>
      </c>
      <c r="C771" s="1" t="s">
        <v>146</v>
      </c>
      <c r="D771" s="2" t="str">
        <f t="shared" si="12"/>
        <v>http://zfin.org/ZDB-GENE-040426-1955</v>
      </c>
      <c r="E771" s="1" t="s">
        <v>6943</v>
      </c>
      <c r="F771" s="3">
        <v>1.4264756836767699E-8</v>
      </c>
      <c r="G771" s="1">
        <v>-0.52700526946040904</v>
      </c>
      <c r="H771" s="1">
        <v>0.77200000000000002</v>
      </c>
      <c r="I771" s="1">
        <v>0.78300000000000003</v>
      </c>
      <c r="J771" s="1">
        <v>2</v>
      </c>
    </row>
    <row r="772" spans="1:10" x14ac:dyDescent="0.2">
      <c r="A772" s="1" t="s">
        <v>2666</v>
      </c>
      <c r="B772" s="1" t="s">
        <v>2665</v>
      </c>
      <c r="C772" s="1" t="s">
        <v>2664</v>
      </c>
      <c r="D772" s="2" t="str">
        <f t="shared" si="12"/>
        <v>http://zfin.org/ZDB-GENE-050419-73</v>
      </c>
      <c r="E772" s="1" t="s">
        <v>6942</v>
      </c>
      <c r="F772" s="1">
        <v>1.7976046593762901E-3</v>
      </c>
      <c r="G772" s="1">
        <v>-0.52691310881990405</v>
      </c>
      <c r="H772" s="1">
        <v>0.14899999999999999</v>
      </c>
      <c r="I772" s="1">
        <v>0.317</v>
      </c>
      <c r="J772" s="1">
        <v>2</v>
      </c>
    </row>
    <row r="773" spans="1:10" x14ac:dyDescent="0.2">
      <c r="A773" s="1" t="s">
        <v>3671</v>
      </c>
      <c r="B773" s="1" t="s">
        <v>3670</v>
      </c>
      <c r="C773" s="1" t="s">
        <v>3669</v>
      </c>
      <c r="D773" s="2" t="str">
        <f t="shared" si="12"/>
        <v>http://zfin.org/ZDB-GENE-050517-31</v>
      </c>
      <c r="E773" s="1" t="s">
        <v>6941</v>
      </c>
      <c r="F773" s="3">
        <v>6.0573814611966902E-5</v>
      </c>
      <c r="G773" s="1">
        <v>-0.52634578435160795</v>
      </c>
      <c r="H773" s="1">
        <v>0.13200000000000001</v>
      </c>
      <c r="I773" s="1">
        <v>0.33300000000000002</v>
      </c>
      <c r="J773" s="1">
        <v>2</v>
      </c>
    </row>
    <row r="774" spans="1:10" x14ac:dyDescent="0.2">
      <c r="A774" s="1" t="s">
        <v>6940</v>
      </c>
      <c r="B774" s="1" t="s">
        <v>6939</v>
      </c>
      <c r="C774" s="1" t="s">
        <v>6938</v>
      </c>
      <c r="D774" s="2" t="str">
        <f t="shared" si="12"/>
        <v>http://zfin.org/ZDB-GENE-030131-2182</v>
      </c>
      <c r="E774" s="1" t="s">
        <v>6937</v>
      </c>
      <c r="F774" s="3">
        <v>1.9332156860044601E-9</v>
      </c>
      <c r="G774" s="1">
        <v>-0.52589233067851204</v>
      </c>
      <c r="H774" s="1">
        <v>0.13200000000000001</v>
      </c>
      <c r="I774" s="1">
        <v>0.4</v>
      </c>
      <c r="J774" s="1">
        <v>2</v>
      </c>
    </row>
    <row r="775" spans="1:10" x14ac:dyDescent="0.2">
      <c r="A775" s="1" t="s">
        <v>6936</v>
      </c>
      <c r="B775" s="1" t="s">
        <v>6935</v>
      </c>
      <c r="C775" s="1" t="s">
        <v>6934</v>
      </c>
      <c r="D775" s="2" t="str">
        <f t="shared" si="12"/>
        <v>http://zfin.org/ZDB-GENE-030131-1693</v>
      </c>
      <c r="E775" s="1" t="s">
        <v>6933</v>
      </c>
      <c r="F775" s="3">
        <v>5.7378222460354601E-6</v>
      </c>
      <c r="G775" s="1">
        <v>-0.52501326209741905</v>
      </c>
      <c r="H775" s="1">
        <v>0.193</v>
      </c>
      <c r="I775" s="1">
        <v>0.38300000000000001</v>
      </c>
      <c r="J775" s="1">
        <v>2</v>
      </c>
    </row>
    <row r="776" spans="1:10" x14ac:dyDescent="0.2">
      <c r="A776" s="1" t="s">
        <v>6932</v>
      </c>
      <c r="B776" s="1" t="s">
        <v>6931</v>
      </c>
      <c r="C776" s="1" t="s">
        <v>6930</v>
      </c>
      <c r="D776" s="2" t="str">
        <f t="shared" si="12"/>
        <v>http://zfin.org/ZDB-GENE-041121-17</v>
      </c>
      <c r="E776" s="1" t="s">
        <v>6929</v>
      </c>
      <c r="F776" s="3">
        <v>3.3767878371668102E-5</v>
      </c>
      <c r="G776" s="1">
        <v>-0.52495347748527899</v>
      </c>
      <c r="H776" s="1">
        <v>0.307</v>
      </c>
      <c r="I776" s="1">
        <v>0.53300000000000003</v>
      </c>
      <c r="J776" s="1">
        <v>2</v>
      </c>
    </row>
    <row r="777" spans="1:10" x14ac:dyDescent="0.2">
      <c r="A777" s="1" t="s">
        <v>3621</v>
      </c>
      <c r="B777" s="1" t="s">
        <v>3620</v>
      </c>
      <c r="C777" s="1" t="s">
        <v>3619</v>
      </c>
      <c r="D777" s="2" t="str">
        <f t="shared" si="12"/>
        <v>http://zfin.org/ZDB-GENE-030131-5408</v>
      </c>
      <c r="E777" s="1" t="s">
        <v>6928</v>
      </c>
      <c r="F777" s="3">
        <v>8.3154972086569303E-7</v>
      </c>
      <c r="G777" s="1">
        <v>-0.52309856971476698</v>
      </c>
      <c r="H777" s="1">
        <v>0.77200000000000002</v>
      </c>
      <c r="I777" s="1">
        <v>0.88300000000000001</v>
      </c>
      <c r="J777" s="1">
        <v>2</v>
      </c>
    </row>
    <row r="778" spans="1:10" x14ac:dyDescent="0.2">
      <c r="A778" s="1" t="s">
        <v>6927</v>
      </c>
      <c r="B778" s="1" t="s">
        <v>6926</v>
      </c>
      <c r="C778" s="1" t="s">
        <v>6925</v>
      </c>
      <c r="D778" s="2" t="str">
        <f t="shared" si="12"/>
        <v>http://zfin.org/ZDB-GENE-030605-1</v>
      </c>
      <c r="E778" s="1" t="s">
        <v>6924</v>
      </c>
      <c r="F778" s="3">
        <v>6.8339543274297101E-5</v>
      </c>
      <c r="G778" s="1">
        <v>-0.522869561559136</v>
      </c>
      <c r="H778" s="1">
        <v>0.39500000000000002</v>
      </c>
      <c r="I778" s="1">
        <v>0.71699999999999997</v>
      </c>
      <c r="J778" s="1">
        <v>2</v>
      </c>
    </row>
    <row r="779" spans="1:10" x14ac:dyDescent="0.2">
      <c r="A779" s="1" t="s">
        <v>323</v>
      </c>
      <c r="B779" s="1" t="s">
        <v>322</v>
      </c>
      <c r="C779" s="1" t="s">
        <v>321</v>
      </c>
      <c r="D779" s="2" t="str">
        <f t="shared" si="12"/>
        <v>http://zfin.org/ZDB-GENE-070206-10</v>
      </c>
      <c r="E779" s="1" t="s">
        <v>6923</v>
      </c>
      <c r="F779" s="1">
        <v>4.31358113032025E-4</v>
      </c>
      <c r="G779" s="1">
        <v>-0.52284600348785903</v>
      </c>
      <c r="H779" s="1">
        <v>0.48199999999999998</v>
      </c>
      <c r="I779" s="1">
        <v>0.6</v>
      </c>
      <c r="J779" s="1">
        <v>2</v>
      </c>
    </row>
    <row r="780" spans="1:10" x14ac:dyDescent="0.2">
      <c r="A780" s="1" t="s">
        <v>6922</v>
      </c>
      <c r="B780" s="1" t="s">
        <v>6921</v>
      </c>
      <c r="C780" s="1" t="s">
        <v>6920</v>
      </c>
      <c r="D780" s="2" t="str">
        <f t="shared" si="12"/>
        <v>http://zfin.org/ZDB-GENE-050320-50</v>
      </c>
      <c r="E780" s="1" t="s">
        <v>6919</v>
      </c>
      <c r="F780" s="3">
        <v>4.7108995506482599E-7</v>
      </c>
      <c r="G780" s="1">
        <v>-0.52181162001555903</v>
      </c>
      <c r="H780" s="1">
        <v>7.0000000000000007E-2</v>
      </c>
      <c r="I780" s="1">
        <v>0.35</v>
      </c>
      <c r="J780" s="1">
        <v>2</v>
      </c>
    </row>
    <row r="781" spans="1:10" x14ac:dyDescent="0.2">
      <c r="A781" s="1" t="s">
        <v>6918</v>
      </c>
      <c r="B781" s="1" t="s">
        <v>6917</v>
      </c>
      <c r="C781" s="1" t="s">
        <v>6916</v>
      </c>
      <c r="D781" s="2" t="str">
        <f t="shared" si="12"/>
        <v>http://zfin.org/ZDB-GENE-060810-187</v>
      </c>
      <c r="E781" s="1" t="s">
        <v>6915</v>
      </c>
      <c r="F781" s="3">
        <v>1.6399598777498499E-6</v>
      </c>
      <c r="G781" s="1">
        <v>-0.52121508227775404</v>
      </c>
      <c r="H781" s="1">
        <v>0.33300000000000002</v>
      </c>
      <c r="I781" s="1">
        <v>0.53300000000000003</v>
      </c>
      <c r="J781" s="1">
        <v>2</v>
      </c>
    </row>
    <row r="782" spans="1:10" x14ac:dyDescent="0.2">
      <c r="A782" s="1" t="s">
        <v>6914</v>
      </c>
      <c r="B782" s="1" t="s">
        <v>6913</v>
      </c>
      <c r="C782" s="1" t="s">
        <v>6912</v>
      </c>
      <c r="D782" s="2" t="str">
        <f t="shared" si="12"/>
        <v>http://zfin.org/ZDB-GENE-990415-215</v>
      </c>
      <c r="E782" s="1" t="s">
        <v>6911</v>
      </c>
      <c r="F782" s="3">
        <v>5.4063581578982397E-6</v>
      </c>
      <c r="G782" s="1">
        <v>-0.52113223743464099</v>
      </c>
      <c r="H782" s="1">
        <v>0.33300000000000002</v>
      </c>
      <c r="I782" s="1">
        <v>0.53300000000000003</v>
      </c>
      <c r="J782" s="1">
        <v>2</v>
      </c>
    </row>
    <row r="783" spans="1:10" x14ac:dyDescent="0.2">
      <c r="A783" s="1" t="s">
        <v>6910</v>
      </c>
      <c r="B783" s="1" t="s">
        <v>6909</v>
      </c>
      <c r="C783" s="1" t="s">
        <v>6908</v>
      </c>
      <c r="D783" s="2" t="str">
        <f t="shared" si="12"/>
        <v>http://zfin.org/ZDB-GENE-040426-875</v>
      </c>
      <c r="E783" s="1" t="s">
        <v>6907</v>
      </c>
      <c r="F783" s="3">
        <v>1.7853621764121299E-5</v>
      </c>
      <c r="G783" s="1">
        <v>-0.52109175007662201</v>
      </c>
      <c r="H783" s="1">
        <v>0.40400000000000003</v>
      </c>
      <c r="I783" s="1">
        <v>0.51700000000000002</v>
      </c>
      <c r="J783" s="1">
        <v>2</v>
      </c>
    </row>
    <row r="784" spans="1:10" x14ac:dyDescent="0.2">
      <c r="A784" s="1" t="s">
        <v>3937</v>
      </c>
      <c r="B784" s="4">
        <v>42984</v>
      </c>
      <c r="C784" s="1" t="s">
        <v>3935</v>
      </c>
      <c r="D784" s="2" t="str">
        <f t="shared" si="12"/>
        <v>http://zfin.org/ZDB-GENE-030131-1414</v>
      </c>
      <c r="E784" s="1" t="s">
        <v>6906</v>
      </c>
      <c r="F784" s="3">
        <v>4.8295044132461802E-8</v>
      </c>
      <c r="G784" s="1">
        <v>-0.52018691543415596</v>
      </c>
      <c r="H784" s="1">
        <v>0.14000000000000001</v>
      </c>
      <c r="I784" s="1">
        <v>0.26700000000000002</v>
      </c>
      <c r="J784" s="1">
        <v>2</v>
      </c>
    </row>
    <row r="785" spans="1:10" x14ac:dyDescent="0.2">
      <c r="A785" s="1" t="s">
        <v>3794</v>
      </c>
      <c r="B785" s="1" t="s">
        <v>3793</v>
      </c>
      <c r="C785" s="1" t="s">
        <v>3792</v>
      </c>
      <c r="D785" s="2" t="str">
        <f t="shared" si="12"/>
        <v>http://zfin.org/ZDB-GENE-030131-7949</v>
      </c>
      <c r="E785" s="1" t="s">
        <v>6905</v>
      </c>
      <c r="F785" s="1">
        <v>3.8570715166234999E-4</v>
      </c>
      <c r="G785" s="1">
        <v>-0.51918790388956604</v>
      </c>
      <c r="H785" s="1">
        <v>9.6000000000000002E-2</v>
      </c>
      <c r="I785" s="1">
        <v>0.25</v>
      </c>
      <c r="J785" s="1">
        <v>2</v>
      </c>
    </row>
    <row r="786" spans="1:10" x14ac:dyDescent="0.2">
      <c r="A786" s="1" t="s">
        <v>6904</v>
      </c>
      <c r="B786" s="1" t="s">
        <v>6903</v>
      </c>
      <c r="C786" s="1" t="s">
        <v>6902</v>
      </c>
      <c r="D786" s="2" t="str">
        <f t="shared" si="12"/>
        <v>http://zfin.org/ZDB-GENE-101207-1</v>
      </c>
      <c r="E786" s="1" t="s">
        <v>6901</v>
      </c>
      <c r="F786" s="1">
        <v>1.0421114608668001E-3</v>
      </c>
      <c r="G786" s="1">
        <v>-0.5187499850142</v>
      </c>
      <c r="H786" s="1">
        <v>9.6000000000000002E-2</v>
      </c>
      <c r="I786" s="1">
        <v>0.26700000000000002</v>
      </c>
      <c r="J786" s="1">
        <v>2</v>
      </c>
    </row>
    <row r="787" spans="1:10" x14ac:dyDescent="0.2">
      <c r="A787" s="1" t="s">
        <v>1609</v>
      </c>
      <c r="B787" s="1" t="s">
        <v>1608</v>
      </c>
      <c r="C787" s="1" t="s">
        <v>1607</v>
      </c>
      <c r="D787" s="2" t="str">
        <f t="shared" si="12"/>
        <v>http://zfin.org/ZDB-GENE-990614-17</v>
      </c>
      <c r="E787" s="1" t="s">
        <v>6900</v>
      </c>
      <c r="F787" s="1">
        <v>1.6261424042031099E-4</v>
      </c>
      <c r="G787" s="1">
        <v>-0.51864109703249095</v>
      </c>
      <c r="H787" s="1">
        <v>0.34200000000000003</v>
      </c>
      <c r="I787" s="1">
        <v>0.53300000000000003</v>
      </c>
      <c r="J787" s="1">
        <v>2</v>
      </c>
    </row>
    <row r="788" spans="1:10" x14ac:dyDescent="0.2">
      <c r="A788" s="1" t="s">
        <v>6899</v>
      </c>
      <c r="B788" s="1" t="s">
        <v>6898</v>
      </c>
      <c r="C788" s="1" t="s">
        <v>6897</v>
      </c>
      <c r="D788" s="2" t="str">
        <f t="shared" si="12"/>
        <v>http://zfin.org/ZDB-GENE-030131-9511</v>
      </c>
      <c r="E788" s="1" t="s">
        <v>6896</v>
      </c>
      <c r="F788" s="3">
        <v>7.9287046621352705E-6</v>
      </c>
      <c r="G788" s="1">
        <v>-0.51861273614440895</v>
      </c>
      <c r="H788" s="1">
        <v>0.27200000000000002</v>
      </c>
      <c r="I788" s="1">
        <v>0.46700000000000003</v>
      </c>
      <c r="J788" s="1">
        <v>2</v>
      </c>
    </row>
    <row r="789" spans="1:10" x14ac:dyDescent="0.2">
      <c r="A789" s="1" t="s">
        <v>6895</v>
      </c>
      <c r="B789" s="1" t="s">
        <v>6894</v>
      </c>
      <c r="C789" s="1" t="s">
        <v>6893</v>
      </c>
      <c r="D789" s="2" t="str">
        <f t="shared" si="12"/>
        <v>http://zfin.org/ZDB-GENE-030721-4</v>
      </c>
      <c r="E789" s="1" t="s">
        <v>6892</v>
      </c>
      <c r="F789" s="1">
        <v>1.60921103906111E-4</v>
      </c>
      <c r="G789" s="1">
        <v>-0.51744989198364399</v>
      </c>
      <c r="H789" s="1">
        <v>0</v>
      </c>
      <c r="I789" s="1">
        <v>0.15</v>
      </c>
      <c r="J789" s="1">
        <v>2</v>
      </c>
    </row>
    <row r="790" spans="1:10" x14ac:dyDescent="0.2">
      <c r="A790" s="1" t="s">
        <v>3728</v>
      </c>
      <c r="B790" s="1" t="s">
        <v>3727</v>
      </c>
      <c r="C790" s="1" t="s">
        <v>3726</v>
      </c>
      <c r="D790" s="2" t="str">
        <f t="shared" si="12"/>
        <v>http://zfin.org/ZDB-GENE-040426-978</v>
      </c>
      <c r="E790" s="1" t="s">
        <v>6891</v>
      </c>
      <c r="F790" s="3">
        <v>7.2764863428116798E-6</v>
      </c>
      <c r="G790" s="1">
        <v>-0.51713073030646595</v>
      </c>
      <c r="H790" s="1">
        <v>9.6000000000000002E-2</v>
      </c>
      <c r="I790" s="1">
        <v>0.3</v>
      </c>
      <c r="J790" s="1">
        <v>2</v>
      </c>
    </row>
    <row r="791" spans="1:10" x14ac:dyDescent="0.2">
      <c r="A791" s="1" t="s">
        <v>6890</v>
      </c>
      <c r="B791" s="1" t="s">
        <v>6889</v>
      </c>
      <c r="C791" s="1" t="s">
        <v>6888</v>
      </c>
      <c r="D791" s="2" t="str">
        <f t="shared" si="12"/>
        <v>http://zfin.org/ZDB-GENE-030131-9164</v>
      </c>
      <c r="E791" s="1" t="s">
        <v>6887</v>
      </c>
      <c r="F791" s="3">
        <v>7.3321379007121903E-8</v>
      </c>
      <c r="G791" s="1">
        <v>-0.51614592559711303</v>
      </c>
      <c r="H791" s="1">
        <v>0.36799999999999999</v>
      </c>
      <c r="I791" s="1">
        <v>0.56699999999999995</v>
      </c>
      <c r="J791" s="1">
        <v>2</v>
      </c>
    </row>
    <row r="792" spans="1:10" x14ac:dyDescent="0.2">
      <c r="A792" s="1" t="s">
        <v>2783</v>
      </c>
      <c r="B792" s="1" t="s">
        <v>2782</v>
      </c>
      <c r="C792" s="1" t="s">
        <v>2781</v>
      </c>
      <c r="D792" s="2" t="str">
        <f t="shared" si="12"/>
        <v>http://zfin.org/ZDB-GENE-070912-181</v>
      </c>
      <c r="E792" s="1" t="s">
        <v>6886</v>
      </c>
      <c r="F792" s="3">
        <v>3.7367459681622301E-6</v>
      </c>
      <c r="G792" s="1">
        <v>-0.51574303804873001</v>
      </c>
      <c r="H792" s="1">
        <v>0.158</v>
      </c>
      <c r="I792" s="1">
        <v>0.45</v>
      </c>
      <c r="J792" s="1">
        <v>2</v>
      </c>
    </row>
    <row r="793" spans="1:10" x14ac:dyDescent="0.2">
      <c r="A793" s="1" t="s">
        <v>1836</v>
      </c>
      <c r="B793" s="1" t="s">
        <v>1835</v>
      </c>
      <c r="D793" s="2" t="str">
        <f t="shared" si="12"/>
        <v>http://zfin.org/</v>
      </c>
      <c r="E793" s="1" t="s">
        <v>4625</v>
      </c>
      <c r="F793" s="3">
        <v>6.09075132200801E-6</v>
      </c>
      <c r="G793" s="1">
        <v>-0.51485558691634403</v>
      </c>
      <c r="H793" s="1">
        <v>1</v>
      </c>
      <c r="I793" s="1">
        <v>1</v>
      </c>
      <c r="J793" s="1">
        <v>2</v>
      </c>
    </row>
    <row r="794" spans="1:10" x14ac:dyDescent="0.2">
      <c r="A794" s="1" t="s">
        <v>2762</v>
      </c>
      <c r="B794" s="1" t="s">
        <v>2761</v>
      </c>
      <c r="C794" s="1" t="s">
        <v>2760</v>
      </c>
      <c r="D794" s="2" t="str">
        <f t="shared" si="12"/>
        <v>http://zfin.org/ZDB-GENE-031018-3</v>
      </c>
      <c r="E794" s="1" t="s">
        <v>6885</v>
      </c>
      <c r="F794" s="3">
        <v>2.9176901399896799E-7</v>
      </c>
      <c r="G794" s="1">
        <v>-0.51415174221279503</v>
      </c>
      <c r="H794" s="1">
        <v>0.49099999999999999</v>
      </c>
      <c r="I794" s="1">
        <v>0.55000000000000004</v>
      </c>
      <c r="J794" s="1">
        <v>2</v>
      </c>
    </row>
    <row r="795" spans="1:10" x14ac:dyDescent="0.2">
      <c r="A795" s="1" t="s">
        <v>6884</v>
      </c>
      <c r="B795" s="1" t="s">
        <v>6883</v>
      </c>
      <c r="C795" s="1" t="s">
        <v>6882</v>
      </c>
      <c r="D795" s="2" t="str">
        <f t="shared" si="12"/>
        <v>http://zfin.org/ZDB-GENE-040426-2133</v>
      </c>
      <c r="E795" s="1" t="s">
        <v>6881</v>
      </c>
      <c r="F795" s="3">
        <v>2.3993714083668302E-7</v>
      </c>
      <c r="G795" s="1">
        <v>-0.51193345365663401</v>
      </c>
      <c r="H795" s="1">
        <v>0.79800000000000004</v>
      </c>
      <c r="I795" s="1">
        <v>0.85</v>
      </c>
      <c r="J795" s="1">
        <v>2</v>
      </c>
    </row>
    <row r="796" spans="1:10" x14ac:dyDescent="0.2">
      <c r="A796" s="1" t="s">
        <v>6880</v>
      </c>
      <c r="B796" s="1" t="s">
        <v>6879</v>
      </c>
      <c r="C796" s="1" t="s">
        <v>6878</v>
      </c>
      <c r="D796" s="2" t="str">
        <f t="shared" si="12"/>
        <v>http://zfin.org/ZDB-GENE-040426-2448</v>
      </c>
      <c r="E796" s="1" t="s">
        <v>6877</v>
      </c>
      <c r="F796" s="3">
        <v>5.6759466356289997E-7</v>
      </c>
      <c r="G796" s="1">
        <v>-0.51159294299239</v>
      </c>
      <c r="H796" s="1">
        <v>0.84199999999999997</v>
      </c>
      <c r="I796" s="1">
        <v>0.88300000000000001</v>
      </c>
      <c r="J796" s="1">
        <v>2</v>
      </c>
    </row>
    <row r="797" spans="1:10" x14ac:dyDescent="0.2">
      <c r="A797" s="1" t="s">
        <v>6876</v>
      </c>
      <c r="B797" s="1" t="s">
        <v>6875</v>
      </c>
      <c r="C797" s="1" t="s">
        <v>6874</v>
      </c>
      <c r="D797" s="2" t="str">
        <f t="shared" si="12"/>
        <v>http://zfin.org/ZDB-GENE-030131-6611</v>
      </c>
      <c r="E797" s="1" t="s">
        <v>6873</v>
      </c>
      <c r="F797" s="3">
        <v>2.8305003512665299E-6</v>
      </c>
      <c r="G797" s="1">
        <v>-0.51153187092193697</v>
      </c>
      <c r="H797" s="1">
        <v>0.41199999999999998</v>
      </c>
      <c r="I797" s="1">
        <v>0.56699999999999995</v>
      </c>
      <c r="J797" s="1">
        <v>2</v>
      </c>
    </row>
    <row r="798" spans="1:10" x14ac:dyDescent="0.2">
      <c r="A798" s="1" t="s">
        <v>6872</v>
      </c>
      <c r="B798" s="1" t="s">
        <v>6871</v>
      </c>
      <c r="C798" s="1" t="s">
        <v>6870</v>
      </c>
      <c r="D798" s="2" t="str">
        <f t="shared" si="12"/>
        <v>http://zfin.org/ZDB-GENE-030131-666</v>
      </c>
      <c r="E798" s="1" t="s">
        <v>6869</v>
      </c>
      <c r="F798" s="3">
        <v>2.70284889507221E-5</v>
      </c>
      <c r="G798" s="1">
        <v>-0.51060304248543797</v>
      </c>
      <c r="H798" s="1">
        <v>0.33300000000000002</v>
      </c>
      <c r="I798" s="1">
        <v>0.51700000000000002</v>
      </c>
      <c r="J798" s="1">
        <v>2</v>
      </c>
    </row>
    <row r="799" spans="1:10" x14ac:dyDescent="0.2">
      <c r="A799" s="1" t="s">
        <v>6868</v>
      </c>
      <c r="B799" s="1" t="s">
        <v>6867</v>
      </c>
      <c r="C799" s="1" t="s">
        <v>6866</v>
      </c>
      <c r="D799" s="2" t="str">
        <f t="shared" si="12"/>
        <v>http://zfin.org/ZDB-GENE-000629-3</v>
      </c>
      <c r="E799" s="1" t="s">
        <v>6865</v>
      </c>
      <c r="F799" s="3">
        <v>2.3599358385611299E-7</v>
      </c>
      <c r="G799" s="1">
        <v>-0.51029047380257397</v>
      </c>
      <c r="H799" s="1">
        <v>0.97399999999999998</v>
      </c>
      <c r="I799" s="1">
        <v>0.96699999999999997</v>
      </c>
      <c r="J799" s="1">
        <v>2</v>
      </c>
    </row>
    <row r="800" spans="1:10" x14ac:dyDescent="0.2">
      <c r="A800" s="1" t="s">
        <v>6864</v>
      </c>
      <c r="B800" s="1" t="s">
        <v>6863</v>
      </c>
      <c r="C800" s="1" t="s">
        <v>6862</v>
      </c>
      <c r="D800" s="2" t="str">
        <f t="shared" si="12"/>
        <v>http://zfin.org/ZDB-GENE-060503-229</v>
      </c>
      <c r="E800" s="1" t="s">
        <v>6861</v>
      </c>
      <c r="F800" s="3">
        <v>9.0424986470582395E-6</v>
      </c>
      <c r="G800" s="1">
        <v>-0.50920507583427299</v>
      </c>
      <c r="H800" s="1">
        <v>0.42099999999999999</v>
      </c>
      <c r="I800" s="1">
        <v>0.58299999999999996</v>
      </c>
      <c r="J800" s="1">
        <v>2</v>
      </c>
    </row>
    <row r="801" spans="1:10" x14ac:dyDescent="0.2">
      <c r="A801" s="1" t="s">
        <v>1958</v>
      </c>
      <c r="B801" s="1" t="s">
        <v>1957</v>
      </c>
      <c r="C801" s="1" t="s">
        <v>1956</v>
      </c>
      <c r="D801" s="2" t="str">
        <f t="shared" si="12"/>
        <v>http://zfin.org/ZDB-GENE-030131-8671</v>
      </c>
      <c r="E801" s="1" t="s">
        <v>6860</v>
      </c>
      <c r="F801" s="3">
        <v>2.0543948012717699E-8</v>
      </c>
      <c r="G801" s="1">
        <v>-0.50902912293491198</v>
      </c>
      <c r="H801" s="1">
        <v>0.99099999999999999</v>
      </c>
      <c r="I801" s="1">
        <v>1</v>
      </c>
      <c r="J801" s="1">
        <v>2</v>
      </c>
    </row>
    <row r="802" spans="1:10" x14ac:dyDescent="0.2">
      <c r="A802" s="1" t="s">
        <v>6859</v>
      </c>
      <c r="B802" s="1" t="s">
        <v>6858</v>
      </c>
      <c r="C802" s="1" t="s">
        <v>6857</v>
      </c>
      <c r="D802" s="2" t="str">
        <f t="shared" si="12"/>
        <v>http://zfin.org/ZDB-GENE-050417-398</v>
      </c>
      <c r="E802" s="1" t="s">
        <v>6856</v>
      </c>
      <c r="F802" s="3">
        <v>1.84095410895052E-6</v>
      </c>
      <c r="G802" s="1">
        <v>-0.50842621622205497</v>
      </c>
      <c r="H802" s="1">
        <v>0.114</v>
      </c>
      <c r="I802" s="1">
        <v>0.38300000000000001</v>
      </c>
      <c r="J802" s="1">
        <v>2</v>
      </c>
    </row>
    <row r="803" spans="1:10" x14ac:dyDescent="0.2">
      <c r="A803" s="1" t="s">
        <v>6855</v>
      </c>
      <c r="B803" s="1" t="s">
        <v>6854</v>
      </c>
      <c r="C803" s="1" t="s">
        <v>6853</v>
      </c>
      <c r="D803" s="2" t="str">
        <f t="shared" si="12"/>
        <v>http://zfin.org/ZDB-GENE-020419-22</v>
      </c>
      <c r="E803" s="1" t="s">
        <v>6852</v>
      </c>
      <c r="F803" s="3">
        <v>5.4806565235856401E-6</v>
      </c>
      <c r="G803" s="1">
        <v>-0.50818389051533597</v>
      </c>
      <c r="H803" s="1">
        <v>0.219</v>
      </c>
      <c r="I803" s="1">
        <v>0.46700000000000003</v>
      </c>
      <c r="J803" s="1">
        <v>2</v>
      </c>
    </row>
    <row r="804" spans="1:10" x14ac:dyDescent="0.2">
      <c r="A804" s="1" t="s">
        <v>2738</v>
      </c>
      <c r="B804" s="1" t="s">
        <v>2737</v>
      </c>
      <c r="C804" s="1" t="s">
        <v>2736</v>
      </c>
      <c r="D804" s="2" t="str">
        <f t="shared" si="12"/>
        <v>http://zfin.org/ZDB-GENE-030131-9569</v>
      </c>
      <c r="E804" s="1" t="s">
        <v>6851</v>
      </c>
      <c r="F804" s="1">
        <v>3.4601292380111301E-4</v>
      </c>
      <c r="G804" s="1">
        <v>-0.50682722148541604</v>
      </c>
      <c r="H804" s="1">
        <v>6.0999999999999999E-2</v>
      </c>
      <c r="I804" s="1">
        <v>0.23300000000000001</v>
      </c>
      <c r="J804" s="1">
        <v>2</v>
      </c>
    </row>
    <row r="805" spans="1:10" x14ac:dyDescent="0.2">
      <c r="A805" s="1" t="s">
        <v>6850</v>
      </c>
      <c r="B805" s="1" t="s">
        <v>6849</v>
      </c>
      <c r="C805" s="1" t="s">
        <v>6848</v>
      </c>
      <c r="D805" s="2" t="str">
        <f t="shared" si="12"/>
        <v>http://zfin.org/ZDB-GENE-050916-2</v>
      </c>
      <c r="E805" s="1" t="s">
        <v>6847</v>
      </c>
      <c r="F805" s="3">
        <v>3.0392103814302701E-7</v>
      </c>
      <c r="G805" s="1">
        <v>-0.50664149976711703</v>
      </c>
      <c r="H805" s="1">
        <v>7.9000000000000001E-2</v>
      </c>
      <c r="I805" s="1">
        <v>0.28299999999999997</v>
      </c>
      <c r="J805" s="1">
        <v>2</v>
      </c>
    </row>
    <row r="806" spans="1:10" x14ac:dyDescent="0.2">
      <c r="A806" s="1" t="s">
        <v>6846</v>
      </c>
      <c r="B806" s="1" t="s">
        <v>6845</v>
      </c>
      <c r="C806" s="1" t="s">
        <v>6844</v>
      </c>
      <c r="D806" s="2" t="str">
        <f t="shared" si="12"/>
        <v>http://zfin.org/ZDB-GENE-030131-6986</v>
      </c>
      <c r="E806" s="1" t="s">
        <v>6843</v>
      </c>
      <c r="F806" s="3">
        <v>2.36894688104749E-7</v>
      </c>
      <c r="G806" s="1">
        <v>-0.50484758251567297</v>
      </c>
      <c r="H806" s="1">
        <v>0.49099999999999999</v>
      </c>
      <c r="I806" s="1">
        <v>0.61699999999999999</v>
      </c>
      <c r="J806" s="1">
        <v>2</v>
      </c>
    </row>
    <row r="807" spans="1:10" x14ac:dyDescent="0.2">
      <c r="A807" s="1" t="s">
        <v>6842</v>
      </c>
      <c r="B807" s="1" t="s">
        <v>6841</v>
      </c>
      <c r="C807" s="1" t="s">
        <v>6840</v>
      </c>
      <c r="D807" s="2" t="str">
        <f t="shared" si="12"/>
        <v>http://zfin.org/ZDB-GENE-040426-1950</v>
      </c>
      <c r="E807" s="1" t="s">
        <v>6839</v>
      </c>
      <c r="F807" s="1">
        <v>1.66602208338134E-4</v>
      </c>
      <c r="G807" s="1">
        <v>-0.50254109264411795</v>
      </c>
      <c r="H807" s="1">
        <v>0.246</v>
      </c>
      <c r="I807" s="1">
        <v>0.45</v>
      </c>
      <c r="J807" s="1">
        <v>2</v>
      </c>
    </row>
    <row r="808" spans="1:10" x14ac:dyDescent="0.2">
      <c r="A808" s="1" t="s">
        <v>6838</v>
      </c>
      <c r="B808" s="1" t="s">
        <v>6837</v>
      </c>
      <c r="C808" s="1" t="s">
        <v>6836</v>
      </c>
      <c r="D808" s="2" t="str">
        <f t="shared" si="12"/>
        <v>http://zfin.org/ZDB-GENE-030131-845</v>
      </c>
      <c r="E808" s="1" t="s">
        <v>6835</v>
      </c>
      <c r="F808" s="3">
        <v>5.8510558448973002E-8</v>
      </c>
      <c r="G808" s="1">
        <v>-0.50140048538719995</v>
      </c>
      <c r="H808" s="1">
        <v>0.76300000000000001</v>
      </c>
      <c r="I808" s="1">
        <v>0.81699999999999995</v>
      </c>
      <c r="J808" s="1">
        <v>2</v>
      </c>
    </row>
    <row r="809" spans="1:10" x14ac:dyDescent="0.2">
      <c r="A809" s="1" t="s">
        <v>20</v>
      </c>
      <c r="B809" s="1" t="s">
        <v>19</v>
      </c>
      <c r="C809" s="1" t="s">
        <v>21</v>
      </c>
      <c r="D809" s="2" t="str">
        <f t="shared" si="12"/>
        <v>http://zfin.org/ZDB-GENE-010328-2</v>
      </c>
      <c r="E809" s="1" t="s">
        <v>6834</v>
      </c>
      <c r="F809" s="3">
        <v>6.5006360125384299E-6</v>
      </c>
      <c r="G809" s="1">
        <v>-0.49978758845503102</v>
      </c>
      <c r="H809" s="1">
        <v>0.95599999999999996</v>
      </c>
      <c r="I809" s="1">
        <v>0.95</v>
      </c>
      <c r="J809" s="1">
        <v>2</v>
      </c>
    </row>
    <row r="810" spans="1:10" x14ac:dyDescent="0.2">
      <c r="A810" s="1" t="s">
        <v>6833</v>
      </c>
      <c r="B810" s="1" t="s">
        <v>6832</v>
      </c>
      <c r="C810" s="1" t="s">
        <v>6831</v>
      </c>
      <c r="D810" s="2" t="str">
        <f t="shared" si="12"/>
        <v>http://zfin.org/ZDB-GENE-080229-4</v>
      </c>
      <c r="E810" s="1" t="s">
        <v>6830</v>
      </c>
      <c r="F810" s="3">
        <v>5.0626220495560802E-9</v>
      </c>
      <c r="G810" s="1">
        <v>-0.49885440573716999</v>
      </c>
      <c r="H810" s="1">
        <v>0.193</v>
      </c>
      <c r="I810" s="1">
        <v>0.36699999999999999</v>
      </c>
      <c r="J810" s="1">
        <v>2</v>
      </c>
    </row>
    <row r="811" spans="1:10" x14ac:dyDescent="0.2">
      <c r="A811" s="1" t="s">
        <v>6829</v>
      </c>
      <c r="B811" s="1" t="s">
        <v>6828</v>
      </c>
      <c r="C811" s="1" t="s">
        <v>6827</v>
      </c>
      <c r="D811" s="2" t="str">
        <f t="shared" si="12"/>
        <v>http://zfin.org/ZDB-GENE-010816-1</v>
      </c>
      <c r="E811" s="1" t="s">
        <v>6826</v>
      </c>
      <c r="F811" s="1">
        <v>3.6474955002032002E-4</v>
      </c>
      <c r="G811" s="1">
        <v>-0.49835883639351902</v>
      </c>
      <c r="H811" s="1">
        <v>7.0000000000000007E-2</v>
      </c>
      <c r="I811" s="1">
        <v>0.3</v>
      </c>
      <c r="J811" s="1">
        <v>2</v>
      </c>
    </row>
    <row r="812" spans="1:10" x14ac:dyDescent="0.2">
      <c r="A812" s="1" t="s">
        <v>6825</v>
      </c>
      <c r="B812" s="1" t="s">
        <v>6824</v>
      </c>
      <c r="C812" s="1" t="s">
        <v>6823</v>
      </c>
      <c r="D812" s="2" t="str">
        <f t="shared" si="12"/>
        <v>http://zfin.org/ZDB-GENE-030131-967</v>
      </c>
      <c r="E812" s="1" t="s">
        <v>6822</v>
      </c>
      <c r="F812" s="3">
        <v>2.57034141534667E-7</v>
      </c>
      <c r="G812" s="1">
        <v>-0.49717207191082302</v>
      </c>
      <c r="H812" s="1">
        <v>0.52600000000000002</v>
      </c>
      <c r="I812" s="1">
        <v>0.65</v>
      </c>
      <c r="J812" s="1">
        <v>2</v>
      </c>
    </row>
    <row r="813" spans="1:10" x14ac:dyDescent="0.2">
      <c r="A813" s="1" t="s">
        <v>6821</v>
      </c>
      <c r="B813" s="1" t="s">
        <v>6820</v>
      </c>
      <c r="C813" s="1" t="s">
        <v>6819</v>
      </c>
      <c r="D813" s="2" t="str">
        <f t="shared" si="12"/>
        <v>http://zfin.org/ZDB-GENE-070912-75</v>
      </c>
      <c r="E813" s="1" t="s">
        <v>6818</v>
      </c>
      <c r="F813" s="1">
        <v>5.0284470838615402E-3</v>
      </c>
      <c r="G813" s="1">
        <v>-0.497030950732962</v>
      </c>
      <c r="H813" s="1">
        <v>0.13200000000000001</v>
      </c>
      <c r="I813" s="1">
        <v>0.3</v>
      </c>
      <c r="J813" s="1">
        <v>2</v>
      </c>
    </row>
    <row r="814" spans="1:10" x14ac:dyDescent="0.2">
      <c r="A814" s="1" t="s">
        <v>6817</v>
      </c>
      <c r="B814" s="1" t="s">
        <v>6816</v>
      </c>
      <c r="C814" s="1" t="s">
        <v>6815</v>
      </c>
      <c r="D814" s="2" t="str">
        <f t="shared" si="12"/>
        <v>http://zfin.org/ZDB-GENE-040718-329</v>
      </c>
      <c r="E814" s="1" t="s">
        <v>6814</v>
      </c>
      <c r="F814" s="3">
        <v>2.5561022765831001E-7</v>
      </c>
      <c r="G814" s="1">
        <v>-0.496723617149121</v>
      </c>
      <c r="H814" s="1">
        <v>0.49099999999999999</v>
      </c>
      <c r="I814" s="1">
        <v>0.65</v>
      </c>
      <c r="J814" s="1">
        <v>2</v>
      </c>
    </row>
    <row r="815" spans="1:10" x14ac:dyDescent="0.2">
      <c r="A815" s="1" t="s">
        <v>6813</v>
      </c>
      <c r="B815" s="1" t="s">
        <v>6812</v>
      </c>
      <c r="C815" s="1" t="s">
        <v>6811</v>
      </c>
      <c r="D815" s="2" t="str">
        <f t="shared" si="12"/>
        <v>http://zfin.org/ZDB-GENE-040625-69</v>
      </c>
      <c r="E815" s="1" t="s">
        <v>6810</v>
      </c>
      <c r="F815" s="3">
        <v>4.0403003236625601E-9</v>
      </c>
      <c r="G815" s="1">
        <v>-0.496506518858854</v>
      </c>
      <c r="H815" s="1">
        <v>0.22800000000000001</v>
      </c>
      <c r="I815" s="1">
        <v>0.433</v>
      </c>
      <c r="J815" s="1">
        <v>2</v>
      </c>
    </row>
    <row r="816" spans="1:10" x14ac:dyDescent="0.2">
      <c r="A816" s="1" t="s">
        <v>6809</v>
      </c>
      <c r="B816" s="1" t="s">
        <v>6808</v>
      </c>
      <c r="C816" s="1" t="s">
        <v>6807</v>
      </c>
      <c r="D816" s="2" t="str">
        <f t="shared" si="12"/>
        <v>http://zfin.org/ZDB-GENE-040426-1881</v>
      </c>
      <c r="E816" s="1" t="s">
        <v>6806</v>
      </c>
      <c r="F816" s="3">
        <v>9.4460989713522705E-7</v>
      </c>
      <c r="G816" s="1">
        <v>-0.49181632286633198</v>
      </c>
      <c r="H816" s="1">
        <v>0.254</v>
      </c>
      <c r="I816" s="1">
        <v>0.433</v>
      </c>
      <c r="J816" s="1">
        <v>2</v>
      </c>
    </row>
    <row r="817" spans="1:10" x14ac:dyDescent="0.2">
      <c r="A817" s="1" t="s">
        <v>6805</v>
      </c>
      <c r="B817" s="1" t="s">
        <v>6804</v>
      </c>
      <c r="C817" s="1" t="s">
        <v>6803</v>
      </c>
      <c r="D817" s="2" t="str">
        <f t="shared" si="12"/>
        <v>http://zfin.org/ZDB-GENE-061013-418</v>
      </c>
      <c r="E817" s="1" t="s">
        <v>6802</v>
      </c>
      <c r="F817" s="1">
        <v>1.9137384580132901E-4</v>
      </c>
      <c r="G817" s="1">
        <v>-0.49170330614003099</v>
      </c>
      <c r="H817" s="1">
        <v>0.114</v>
      </c>
      <c r="I817" s="1">
        <v>0.35</v>
      </c>
      <c r="J817" s="1">
        <v>2</v>
      </c>
    </row>
    <row r="818" spans="1:10" x14ac:dyDescent="0.2">
      <c r="A818" s="1" t="s">
        <v>6801</v>
      </c>
      <c r="B818" s="1" t="s">
        <v>6800</v>
      </c>
      <c r="C818" s="1" t="s">
        <v>6799</v>
      </c>
      <c r="D818" s="2" t="str">
        <f t="shared" si="12"/>
        <v>http://zfin.org/ZDB-GENE-040718-426</v>
      </c>
      <c r="E818" s="1" t="s">
        <v>6798</v>
      </c>
      <c r="F818" s="3">
        <v>3.43533840788106E-5</v>
      </c>
      <c r="G818" s="1">
        <v>-0.49132915047546</v>
      </c>
      <c r="H818" s="1">
        <v>0.20200000000000001</v>
      </c>
      <c r="I818" s="1">
        <v>0.38300000000000001</v>
      </c>
      <c r="J818" s="1">
        <v>2</v>
      </c>
    </row>
    <row r="819" spans="1:10" x14ac:dyDescent="0.2">
      <c r="A819" s="1" t="s">
        <v>6797</v>
      </c>
      <c r="B819" s="1" t="s">
        <v>6796</v>
      </c>
      <c r="C819" s="1" t="s">
        <v>6795</v>
      </c>
      <c r="D819" s="2" t="str">
        <f t="shared" si="12"/>
        <v>http://zfin.org/ZDB-GENE-060130-108</v>
      </c>
      <c r="E819" s="1" t="s">
        <v>6794</v>
      </c>
      <c r="F819" s="3">
        <v>8.17909489662811E-5</v>
      </c>
      <c r="G819" s="1">
        <v>-0.49130596053599401</v>
      </c>
      <c r="H819" s="1">
        <v>0.36799999999999999</v>
      </c>
      <c r="I819" s="1">
        <v>0.5</v>
      </c>
      <c r="J819" s="1">
        <v>2</v>
      </c>
    </row>
    <row r="820" spans="1:10" x14ac:dyDescent="0.2">
      <c r="A820" s="1" t="s">
        <v>6793</v>
      </c>
      <c r="B820" s="1" t="s">
        <v>6792</v>
      </c>
      <c r="C820" s="1" t="s">
        <v>6791</v>
      </c>
      <c r="D820" s="2" t="str">
        <f t="shared" si="12"/>
        <v>http://zfin.org/ZDB-GENE-040426-848</v>
      </c>
      <c r="E820" s="1" t="s">
        <v>6790</v>
      </c>
      <c r="F820" s="1">
        <v>1.7874537469967199E-4</v>
      </c>
      <c r="G820" s="1">
        <v>-0.49120247482306501</v>
      </c>
      <c r="H820" s="1">
        <v>0.23699999999999999</v>
      </c>
      <c r="I820" s="1">
        <v>0.45</v>
      </c>
      <c r="J820" s="1">
        <v>2</v>
      </c>
    </row>
    <row r="821" spans="1:10" x14ac:dyDescent="0.2">
      <c r="A821" s="1" t="s">
        <v>6789</v>
      </c>
      <c r="B821" s="1" t="s">
        <v>6788</v>
      </c>
      <c r="C821" s="1" t="s">
        <v>6787</v>
      </c>
      <c r="D821" s="2" t="str">
        <f t="shared" si="12"/>
        <v>http://zfin.org/ZDB-GENE-040426-1944</v>
      </c>
      <c r="E821" s="1" t="s">
        <v>6786</v>
      </c>
      <c r="F821" s="3">
        <v>3.8443544140931499E-12</v>
      </c>
      <c r="G821" s="1">
        <v>-0.48932575013698998</v>
      </c>
      <c r="H821" s="1">
        <v>0.28100000000000003</v>
      </c>
      <c r="I821" s="1">
        <v>0.45</v>
      </c>
      <c r="J821" s="1">
        <v>2</v>
      </c>
    </row>
    <row r="822" spans="1:10" x14ac:dyDescent="0.2">
      <c r="A822" s="1" t="s">
        <v>6785</v>
      </c>
      <c r="B822" s="1" t="s">
        <v>6784</v>
      </c>
      <c r="C822" s="1" t="s">
        <v>6783</v>
      </c>
      <c r="D822" s="2" t="str">
        <f t="shared" si="12"/>
        <v>http://zfin.org/ZDB-GENE-040426-1961</v>
      </c>
      <c r="E822" s="1" t="s">
        <v>6782</v>
      </c>
      <c r="F822" s="3">
        <v>6.57365746857918E-8</v>
      </c>
      <c r="G822" s="1">
        <v>-0.48922339322622099</v>
      </c>
      <c r="H822" s="1">
        <v>0.97399999999999998</v>
      </c>
      <c r="I822" s="1">
        <v>0.93300000000000005</v>
      </c>
      <c r="J822" s="1">
        <v>2</v>
      </c>
    </row>
    <row r="823" spans="1:10" x14ac:dyDescent="0.2">
      <c r="A823" s="1" t="s">
        <v>6781</v>
      </c>
      <c r="B823" s="1" t="s">
        <v>6780</v>
      </c>
      <c r="C823" s="1" t="s">
        <v>6779</v>
      </c>
      <c r="D823" s="2" t="str">
        <f t="shared" si="12"/>
        <v>http://zfin.org/ZDB-GENE-030131-2081</v>
      </c>
      <c r="E823" s="1" t="s">
        <v>6778</v>
      </c>
      <c r="F823" s="3">
        <v>4.7289276672265799E-7</v>
      </c>
      <c r="G823" s="1">
        <v>-0.48900869892068899</v>
      </c>
      <c r="H823" s="1">
        <v>9.6000000000000002E-2</v>
      </c>
      <c r="I823" s="1">
        <v>0.3</v>
      </c>
      <c r="J823" s="1">
        <v>2</v>
      </c>
    </row>
    <row r="824" spans="1:10" x14ac:dyDescent="0.2">
      <c r="A824" s="1" t="s">
        <v>6777</v>
      </c>
      <c r="B824" s="1" t="s">
        <v>6776</v>
      </c>
      <c r="C824" s="1" t="s">
        <v>6775</v>
      </c>
      <c r="D824" s="2" t="str">
        <f t="shared" si="12"/>
        <v>http://zfin.org/ZDB-GENE-050809-111</v>
      </c>
      <c r="E824" s="1" t="s">
        <v>6774</v>
      </c>
      <c r="F824" s="3">
        <v>1.415032753079E-8</v>
      </c>
      <c r="G824" s="1">
        <v>-0.48849282083917001</v>
      </c>
      <c r="H824" s="1">
        <v>0.41199999999999998</v>
      </c>
      <c r="I824" s="1">
        <v>0.45</v>
      </c>
      <c r="J824" s="1">
        <v>2</v>
      </c>
    </row>
    <row r="825" spans="1:10" x14ac:dyDescent="0.2">
      <c r="A825" s="1" t="s">
        <v>6773</v>
      </c>
      <c r="B825" s="1" t="s">
        <v>6772</v>
      </c>
      <c r="C825" s="1" t="s">
        <v>6771</v>
      </c>
      <c r="D825" s="2" t="str">
        <f t="shared" si="12"/>
        <v>http://zfin.org/ZDB-GENE-090313-222</v>
      </c>
      <c r="E825" s="1" t="s">
        <v>6770</v>
      </c>
      <c r="F825" s="1">
        <v>3.8244682874242602E-4</v>
      </c>
      <c r="G825" s="1">
        <v>-0.48791458205285998</v>
      </c>
      <c r="H825" s="1">
        <v>3.5000000000000003E-2</v>
      </c>
      <c r="I825" s="1">
        <v>0.16700000000000001</v>
      </c>
      <c r="J825" s="1">
        <v>2</v>
      </c>
    </row>
    <row r="826" spans="1:10" x14ac:dyDescent="0.2">
      <c r="A826" s="1" t="s">
        <v>1170</v>
      </c>
      <c r="B826" s="1" t="s">
        <v>1169</v>
      </c>
      <c r="C826" s="1" t="s">
        <v>1168</v>
      </c>
      <c r="D826" s="2" t="str">
        <f t="shared" si="12"/>
        <v>http://zfin.org/ZDB-GENE-060503-288</v>
      </c>
      <c r="E826" s="1" t="s">
        <v>6769</v>
      </c>
      <c r="F826" s="1">
        <v>2.7846145103556002E-3</v>
      </c>
      <c r="G826" s="1">
        <v>-0.48551275209174399</v>
      </c>
      <c r="H826" s="1">
        <v>0.33300000000000002</v>
      </c>
      <c r="I826" s="1">
        <v>0.41699999999999998</v>
      </c>
      <c r="J826" s="1">
        <v>2</v>
      </c>
    </row>
    <row r="827" spans="1:10" x14ac:dyDescent="0.2">
      <c r="A827" s="1" t="s">
        <v>6768</v>
      </c>
      <c r="B827" s="1" t="s">
        <v>6767</v>
      </c>
      <c r="C827" s="1" t="s">
        <v>6766</v>
      </c>
      <c r="D827" s="2" t="str">
        <f t="shared" si="12"/>
        <v>http://zfin.org/ZDB-GENE-030131-5299</v>
      </c>
      <c r="E827" s="1" t="s">
        <v>6765</v>
      </c>
      <c r="F827" s="3">
        <v>5.0232707764602401E-5</v>
      </c>
      <c r="G827" s="1">
        <v>-0.485488123909048</v>
      </c>
      <c r="H827" s="1">
        <v>0.40400000000000003</v>
      </c>
      <c r="I827" s="1">
        <v>0.58299999999999996</v>
      </c>
      <c r="J827" s="1">
        <v>2</v>
      </c>
    </row>
    <row r="828" spans="1:10" x14ac:dyDescent="0.2">
      <c r="A828" s="1" t="s">
        <v>377</v>
      </c>
      <c r="B828" s="1" t="s">
        <v>376</v>
      </c>
      <c r="C828" s="1" t="s">
        <v>375</v>
      </c>
      <c r="D828" s="2" t="str">
        <f t="shared" si="12"/>
        <v>http://zfin.org/ZDB-GENE-081031-7</v>
      </c>
      <c r="E828" s="1" t="s">
        <v>6764</v>
      </c>
      <c r="F828" s="3">
        <v>2.2542344897544999E-11</v>
      </c>
      <c r="G828" s="1">
        <v>-0.48547660251439601</v>
      </c>
      <c r="H828" s="1">
        <v>0.5</v>
      </c>
      <c r="I828" s="1">
        <v>0.45</v>
      </c>
      <c r="J828" s="1">
        <v>2</v>
      </c>
    </row>
    <row r="829" spans="1:10" x14ac:dyDescent="0.2">
      <c r="A829" s="1" t="s">
        <v>6763</v>
      </c>
      <c r="B829" s="1" t="s">
        <v>6762</v>
      </c>
      <c r="C829" s="1" t="s">
        <v>6761</v>
      </c>
      <c r="D829" s="2" t="str">
        <f t="shared" si="12"/>
        <v>http://zfin.org/ZDB-GENE-050522-47</v>
      </c>
      <c r="E829" s="1" t="s">
        <v>6760</v>
      </c>
      <c r="F829" s="3">
        <v>2.9844832499584001E-6</v>
      </c>
      <c r="G829" s="1">
        <v>-0.48518173447761698</v>
      </c>
      <c r="H829" s="1">
        <v>0.40400000000000003</v>
      </c>
      <c r="I829" s="1">
        <v>0.58299999999999996</v>
      </c>
      <c r="J829" s="1">
        <v>2</v>
      </c>
    </row>
    <row r="830" spans="1:10" x14ac:dyDescent="0.2">
      <c r="A830" s="1" t="s">
        <v>6759</v>
      </c>
      <c r="B830" s="1" t="s">
        <v>6758</v>
      </c>
      <c r="C830" s="1" t="s">
        <v>6757</v>
      </c>
      <c r="D830" s="2" t="str">
        <f t="shared" si="12"/>
        <v>http://zfin.org/</v>
      </c>
      <c r="E830" s="1" t="s">
        <v>4625</v>
      </c>
      <c r="F830" s="3">
        <v>2.2747515058120602E-6</v>
      </c>
      <c r="G830" s="1">
        <v>-0.48484497082816203</v>
      </c>
      <c r="H830" s="1">
        <v>0.26300000000000001</v>
      </c>
      <c r="I830" s="1">
        <v>0.41699999999999998</v>
      </c>
      <c r="J830" s="1">
        <v>2</v>
      </c>
    </row>
    <row r="831" spans="1:10" x14ac:dyDescent="0.2">
      <c r="A831" s="1" t="s">
        <v>6756</v>
      </c>
      <c r="B831" s="1" t="s">
        <v>6755</v>
      </c>
      <c r="C831" s="1" t="s">
        <v>6754</v>
      </c>
      <c r="D831" s="2" t="str">
        <f t="shared" si="12"/>
        <v>http://zfin.org/ZDB-GENE-040426-2191</v>
      </c>
      <c r="E831" s="1" t="s">
        <v>6753</v>
      </c>
      <c r="F831" s="1">
        <v>1.7952776540466401E-3</v>
      </c>
      <c r="G831" s="1">
        <v>-0.48435584346119398</v>
      </c>
      <c r="H831" s="1">
        <v>0.16700000000000001</v>
      </c>
      <c r="I831" s="1">
        <v>0.36699999999999999</v>
      </c>
      <c r="J831" s="1">
        <v>2</v>
      </c>
    </row>
    <row r="832" spans="1:10" x14ac:dyDescent="0.2">
      <c r="A832" s="1" t="s">
        <v>6752</v>
      </c>
      <c r="B832" s="1" t="s">
        <v>6751</v>
      </c>
      <c r="C832" s="1" t="s">
        <v>6750</v>
      </c>
      <c r="D832" s="2" t="str">
        <f t="shared" si="12"/>
        <v>http://zfin.org/ZDB-GENE-050208-501</v>
      </c>
      <c r="E832" s="1" t="s">
        <v>6749</v>
      </c>
      <c r="F832" s="3">
        <v>1.9558306298856098E-6</v>
      </c>
      <c r="G832" s="1">
        <v>-0.48383906768177998</v>
      </c>
      <c r="H832" s="1">
        <v>2.5999999999999999E-2</v>
      </c>
      <c r="I832" s="1">
        <v>0.26700000000000002</v>
      </c>
      <c r="J832" s="1">
        <v>2</v>
      </c>
    </row>
    <row r="833" spans="1:10" x14ac:dyDescent="0.2">
      <c r="A833" s="1" t="s">
        <v>131</v>
      </c>
      <c r="B833" s="1" t="s">
        <v>130</v>
      </c>
      <c r="C833" s="1" t="s">
        <v>132</v>
      </c>
      <c r="D833" s="2" t="str">
        <f t="shared" si="12"/>
        <v>http://zfin.org/ZDB-GENE-030131-8599</v>
      </c>
      <c r="E833" s="1" t="s">
        <v>6748</v>
      </c>
      <c r="F833" s="1">
        <v>1.3916283191110101E-4</v>
      </c>
      <c r="G833" s="1">
        <v>-0.48335110585977098</v>
      </c>
      <c r="H833" s="1">
        <v>0.76300000000000001</v>
      </c>
      <c r="I833" s="1">
        <v>0.73299999999999998</v>
      </c>
      <c r="J833" s="1">
        <v>2</v>
      </c>
    </row>
    <row r="834" spans="1:10" x14ac:dyDescent="0.2">
      <c r="A834" s="1" t="s">
        <v>1822</v>
      </c>
      <c r="B834" s="1" t="s">
        <v>6747</v>
      </c>
      <c r="D834" s="2" t="str">
        <f t="shared" ref="D834:D897" si="13">HYPERLINK(E834)</f>
        <v>http://zfin.org/</v>
      </c>
      <c r="E834" s="1" t="s">
        <v>4625</v>
      </c>
      <c r="F834" s="1">
        <v>1.2539185268722901E-3</v>
      </c>
      <c r="G834" s="1">
        <v>-0.482457947144039</v>
      </c>
      <c r="H834" s="1">
        <v>0.21099999999999999</v>
      </c>
      <c r="I834" s="1">
        <v>0.317</v>
      </c>
      <c r="J834" s="1">
        <v>2</v>
      </c>
    </row>
    <row r="835" spans="1:10" x14ac:dyDescent="0.2">
      <c r="A835" s="1" t="s">
        <v>6746</v>
      </c>
      <c r="B835" s="1" t="s">
        <v>6745</v>
      </c>
      <c r="C835" s="1" t="s">
        <v>6744</v>
      </c>
      <c r="D835" s="2" t="str">
        <f t="shared" si="13"/>
        <v>http://zfin.org/ZDB-GENE-030131-9685</v>
      </c>
      <c r="E835" s="1" t="s">
        <v>6743</v>
      </c>
      <c r="F835" s="3">
        <v>8.5237103435785304E-6</v>
      </c>
      <c r="G835" s="1">
        <v>-0.48243668168273102</v>
      </c>
      <c r="H835" s="1">
        <v>5.2999999999999999E-2</v>
      </c>
      <c r="I835" s="1">
        <v>0.3</v>
      </c>
      <c r="J835" s="1">
        <v>2</v>
      </c>
    </row>
    <row r="836" spans="1:10" x14ac:dyDescent="0.2">
      <c r="A836" s="1" t="s">
        <v>4259</v>
      </c>
      <c r="B836" s="1" t="s">
        <v>4258</v>
      </c>
      <c r="C836" s="1" t="s">
        <v>4257</v>
      </c>
      <c r="D836" s="2" t="str">
        <f t="shared" si="13"/>
        <v>http://zfin.org/ZDB-GENE-031219-6</v>
      </c>
      <c r="E836" s="1" t="s">
        <v>6742</v>
      </c>
      <c r="F836" s="3">
        <v>1.6241545994324401E-11</v>
      </c>
      <c r="G836" s="1">
        <v>-0.48175007100454198</v>
      </c>
      <c r="H836" s="1">
        <v>0.23699999999999999</v>
      </c>
      <c r="I836" s="1">
        <v>0.38300000000000001</v>
      </c>
      <c r="J836" s="1">
        <v>2</v>
      </c>
    </row>
    <row r="837" spans="1:10" x14ac:dyDescent="0.2">
      <c r="A837" s="1" t="s">
        <v>6741</v>
      </c>
      <c r="B837" s="1" t="s">
        <v>6740</v>
      </c>
      <c r="C837" s="1" t="s">
        <v>6739</v>
      </c>
      <c r="D837" s="2" t="str">
        <f t="shared" si="13"/>
        <v>http://zfin.org/ZDB-GENE-091204-186</v>
      </c>
      <c r="E837" s="1" t="s">
        <v>6738</v>
      </c>
      <c r="F837" s="1">
        <v>1.0239720839499899E-3</v>
      </c>
      <c r="G837" s="1">
        <v>-0.481176337111556</v>
      </c>
      <c r="H837" s="1">
        <v>7.9000000000000001E-2</v>
      </c>
      <c r="I837" s="1">
        <v>0.28299999999999997</v>
      </c>
      <c r="J837" s="1">
        <v>2</v>
      </c>
    </row>
    <row r="838" spans="1:10" x14ac:dyDescent="0.2">
      <c r="A838" s="1" t="s">
        <v>6737</v>
      </c>
      <c r="B838" s="1" t="s">
        <v>6736</v>
      </c>
      <c r="C838" s="1" t="s">
        <v>6735</v>
      </c>
      <c r="D838" s="2" t="str">
        <f t="shared" si="13"/>
        <v>http://zfin.org/ZDB-GENE-030424-1</v>
      </c>
      <c r="E838" s="1" t="s">
        <v>6734</v>
      </c>
      <c r="F838" s="3">
        <v>7.1753040904081597E-6</v>
      </c>
      <c r="G838" s="1">
        <v>-0.48095848682456899</v>
      </c>
      <c r="H838" s="1">
        <v>0.20200000000000001</v>
      </c>
      <c r="I838" s="1">
        <v>0.33300000000000002</v>
      </c>
      <c r="J838" s="1">
        <v>2</v>
      </c>
    </row>
    <row r="839" spans="1:10" x14ac:dyDescent="0.2">
      <c r="A839" s="1" t="s">
        <v>6733</v>
      </c>
      <c r="B839" s="1" t="s">
        <v>6732</v>
      </c>
      <c r="C839" s="1" t="s">
        <v>6731</v>
      </c>
      <c r="D839" s="2" t="str">
        <f t="shared" si="13"/>
        <v>http://zfin.org/ZDB-GENE-141212-9</v>
      </c>
      <c r="E839" s="1" t="s">
        <v>6730</v>
      </c>
      <c r="F839" s="1">
        <v>1.5975370058122099E-4</v>
      </c>
      <c r="G839" s="1">
        <v>-0.48081608377150498</v>
      </c>
      <c r="H839" s="1">
        <v>0.76300000000000001</v>
      </c>
      <c r="I839" s="1">
        <v>0.9</v>
      </c>
      <c r="J839" s="1">
        <v>2</v>
      </c>
    </row>
    <row r="840" spans="1:10" x14ac:dyDescent="0.2">
      <c r="A840" s="1" t="s">
        <v>2672</v>
      </c>
      <c r="B840" s="1" t="s">
        <v>2671</v>
      </c>
      <c r="C840" s="1" t="s">
        <v>2670</v>
      </c>
      <c r="D840" s="2" t="str">
        <f t="shared" si="13"/>
        <v>http://zfin.org/ZDB-GENE-030131-8832</v>
      </c>
      <c r="E840" s="1" t="s">
        <v>6729</v>
      </c>
      <c r="F840" s="1">
        <v>4.4927710276264701E-4</v>
      </c>
      <c r="G840" s="1">
        <v>-0.48071184374009501</v>
      </c>
      <c r="H840" s="1">
        <v>0.29799999999999999</v>
      </c>
      <c r="I840" s="1">
        <v>0.45</v>
      </c>
      <c r="J840" s="1">
        <v>2</v>
      </c>
    </row>
    <row r="841" spans="1:10" x14ac:dyDescent="0.2">
      <c r="A841" s="1" t="s">
        <v>6728</v>
      </c>
      <c r="B841" s="1" t="s">
        <v>6727</v>
      </c>
      <c r="C841" s="1" t="s">
        <v>6726</v>
      </c>
      <c r="D841" s="2" t="str">
        <f t="shared" si="13"/>
        <v>http://zfin.org/ZDB-GENE-041024-8</v>
      </c>
      <c r="E841" s="1" t="s">
        <v>6725</v>
      </c>
      <c r="F841" s="3">
        <v>8.9340350145663196E-7</v>
      </c>
      <c r="G841" s="1">
        <v>-0.47951407812562602</v>
      </c>
      <c r="H841" s="1">
        <v>9.6000000000000002E-2</v>
      </c>
      <c r="I841" s="1">
        <v>0.25</v>
      </c>
      <c r="J841" s="1">
        <v>2</v>
      </c>
    </row>
    <row r="842" spans="1:10" x14ac:dyDescent="0.2">
      <c r="A842" s="1" t="s">
        <v>6724</v>
      </c>
      <c r="B842" s="1" t="s">
        <v>6723</v>
      </c>
      <c r="C842" s="1" t="s">
        <v>6722</v>
      </c>
      <c r="D842" s="2" t="str">
        <f t="shared" si="13"/>
        <v>http://zfin.org/ZDB-GENE-991110-19</v>
      </c>
      <c r="E842" s="1" t="s">
        <v>6721</v>
      </c>
      <c r="F842" s="3">
        <v>4.8482620832722597E-7</v>
      </c>
      <c r="G842" s="1">
        <v>-0.47947130361211598</v>
      </c>
      <c r="H842" s="1">
        <v>0.14899999999999999</v>
      </c>
      <c r="I842" s="1">
        <v>0.35</v>
      </c>
      <c r="J842" s="1">
        <v>2</v>
      </c>
    </row>
    <row r="843" spans="1:10" x14ac:dyDescent="0.2">
      <c r="A843" s="1" t="s">
        <v>6720</v>
      </c>
      <c r="B843" s="4">
        <v>42993</v>
      </c>
      <c r="C843" s="1" t="s">
        <v>6719</v>
      </c>
      <c r="D843" s="2" t="str">
        <f t="shared" si="13"/>
        <v>http://zfin.org/ZDB-GENE-030327-1</v>
      </c>
      <c r="E843" s="1" t="s">
        <v>6718</v>
      </c>
      <c r="F843" s="3">
        <v>4.7426528486200697E-8</v>
      </c>
      <c r="G843" s="1">
        <v>-0.47755930165052601</v>
      </c>
      <c r="H843" s="1">
        <v>0.56100000000000005</v>
      </c>
      <c r="I843" s="1">
        <v>0.61699999999999999</v>
      </c>
      <c r="J843" s="1">
        <v>2</v>
      </c>
    </row>
    <row r="844" spans="1:10" x14ac:dyDescent="0.2">
      <c r="A844" s="1" t="s">
        <v>6717</v>
      </c>
      <c r="B844" s="1" t="s">
        <v>6716</v>
      </c>
      <c r="C844" s="1" t="s">
        <v>6715</v>
      </c>
      <c r="D844" s="2" t="str">
        <f t="shared" si="13"/>
        <v>http://zfin.org/ZDB-GENE-070820-18</v>
      </c>
      <c r="E844" s="1" t="s">
        <v>6714</v>
      </c>
      <c r="F844" s="3">
        <v>1.1768843122393901E-6</v>
      </c>
      <c r="G844" s="1">
        <v>-0.47708728986492099</v>
      </c>
      <c r="H844" s="1">
        <v>0.38600000000000001</v>
      </c>
      <c r="I844" s="1">
        <v>0.51700000000000002</v>
      </c>
      <c r="J844" s="1">
        <v>2</v>
      </c>
    </row>
    <row r="845" spans="1:10" x14ac:dyDescent="0.2">
      <c r="A845" s="1" t="s">
        <v>2699</v>
      </c>
      <c r="B845" s="1" t="s">
        <v>2698</v>
      </c>
      <c r="C845" s="1" t="s">
        <v>2697</v>
      </c>
      <c r="D845" s="2" t="str">
        <f t="shared" si="13"/>
        <v>http://zfin.org/ZDB-GENE-041111-281</v>
      </c>
      <c r="E845" s="1" t="s">
        <v>6713</v>
      </c>
      <c r="F845" s="3">
        <v>1.6099555036568301E-6</v>
      </c>
      <c r="G845" s="1">
        <v>-0.47620710710212699</v>
      </c>
      <c r="H845" s="1">
        <v>2.5999999999999999E-2</v>
      </c>
      <c r="I845" s="1">
        <v>0.25</v>
      </c>
      <c r="J845" s="1">
        <v>2</v>
      </c>
    </row>
    <row r="846" spans="1:10" x14ac:dyDescent="0.2">
      <c r="A846" s="1" t="s">
        <v>6712</v>
      </c>
      <c r="B846" s="1" t="s">
        <v>6711</v>
      </c>
      <c r="C846" s="1" t="s">
        <v>6710</v>
      </c>
      <c r="D846" s="2" t="str">
        <f t="shared" si="13"/>
        <v>http://zfin.org/ZDB-GENE-040426-876</v>
      </c>
      <c r="E846" s="1" t="s">
        <v>6709</v>
      </c>
      <c r="F846" s="1">
        <v>9.9968284625560205E-4</v>
      </c>
      <c r="G846" s="1">
        <v>-0.474554319981704</v>
      </c>
      <c r="H846" s="1">
        <v>0.377</v>
      </c>
      <c r="I846" s="1">
        <v>0.56699999999999995</v>
      </c>
      <c r="J846" s="1">
        <v>2</v>
      </c>
    </row>
    <row r="847" spans="1:10" x14ac:dyDescent="0.2">
      <c r="A847" s="1" t="s">
        <v>6708</v>
      </c>
      <c r="B847" s="1" t="s">
        <v>6707</v>
      </c>
      <c r="C847" s="1" t="s">
        <v>6706</v>
      </c>
      <c r="D847" s="2" t="str">
        <f t="shared" si="13"/>
        <v>http://zfin.org/ZDB-GENE-030710-8</v>
      </c>
      <c r="E847" s="1" t="s">
        <v>6705</v>
      </c>
      <c r="F847" s="3">
        <v>2.5594115996938101E-5</v>
      </c>
      <c r="G847" s="1">
        <v>-0.474034600159567</v>
      </c>
      <c r="H847" s="1">
        <v>3.5000000000000003E-2</v>
      </c>
      <c r="I847" s="1">
        <v>0.23300000000000001</v>
      </c>
      <c r="J847" s="1">
        <v>2</v>
      </c>
    </row>
    <row r="848" spans="1:10" x14ac:dyDescent="0.2">
      <c r="A848" s="1" t="s">
        <v>6704</v>
      </c>
      <c r="B848" s="1" t="s">
        <v>6703</v>
      </c>
      <c r="C848" s="1" t="s">
        <v>6702</v>
      </c>
      <c r="D848" s="2" t="str">
        <f t="shared" si="13"/>
        <v>http://zfin.org/ZDB-GENE-030131-1365</v>
      </c>
      <c r="E848" s="1" t="s">
        <v>6701</v>
      </c>
      <c r="F848" s="3">
        <v>8.3389819401719601E-10</v>
      </c>
      <c r="G848" s="1">
        <v>-0.473606192633303</v>
      </c>
      <c r="H848" s="1">
        <v>0.14899999999999999</v>
      </c>
      <c r="I848" s="1">
        <v>0.38300000000000001</v>
      </c>
      <c r="J848" s="1">
        <v>2</v>
      </c>
    </row>
    <row r="849" spans="1:10" x14ac:dyDescent="0.2">
      <c r="A849" s="1" t="s">
        <v>6700</v>
      </c>
      <c r="B849" s="1" t="s">
        <v>6699</v>
      </c>
      <c r="C849" s="1" t="s">
        <v>6698</v>
      </c>
      <c r="D849" s="2" t="str">
        <f t="shared" si="13"/>
        <v>http://zfin.org/ZDB-GENE-030131-2784</v>
      </c>
      <c r="E849" s="1" t="s">
        <v>6697</v>
      </c>
      <c r="F849" s="3">
        <v>3.46727286450286E-10</v>
      </c>
      <c r="G849" s="1">
        <v>-0.47252637374742301</v>
      </c>
      <c r="H849" s="1">
        <v>0.54400000000000004</v>
      </c>
      <c r="I849" s="1">
        <v>0.55000000000000004</v>
      </c>
      <c r="J849" s="1">
        <v>2</v>
      </c>
    </row>
    <row r="850" spans="1:10" x14ac:dyDescent="0.2">
      <c r="A850" s="1" t="s">
        <v>3662</v>
      </c>
      <c r="B850" s="1" t="s">
        <v>3661</v>
      </c>
      <c r="C850" s="1" t="s">
        <v>3660</v>
      </c>
      <c r="D850" s="2" t="str">
        <f t="shared" si="13"/>
        <v>http://zfin.org/ZDB-GENE-060503-941</v>
      </c>
      <c r="E850" s="1" t="s">
        <v>6696</v>
      </c>
      <c r="F850" s="1">
        <v>1.5794435566569099E-4</v>
      </c>
      <c r="G850" s="1">
        <v>-0.472024940862108</v>
      </c>
      <c r="H850" s="1">
        <v>0.59599999999999997</v>
      </c>
      <c r="I850" s="1">
        <v>0.76700000000000002</v>
      </c>
      <c r="J850" s="1">
        <v>2</v>
      </c>
    </row>
    <row r="851" spans="1:10" x14ac:dyDescent="0.2">
      <c r="A851" s="1" t="s">
        <v>6695</v>
      </c>
      <c r="B851" s="1" t="s">
        <v>6694</v>
      </c>
      <c r="C851" s="1" t="s">
        <v>6693</v>
      </c>
      <c r="D851" s="2" t="str">
        <f t="shared" si="13"/>
        <v>http://zfin.org/ZDB-GENE-130530-667</v>
      </c>
      <c r="E851" s="1" t="s">
        <v>6692</v>
      </c>
      <c r="F851" s="1">
        <v>3.5388284035203202E-4</v>
      </c>
      <c r="G851" s="1">
        <v>-0.47163078448606899</v>
      </c>
      <c r="H851" s="1">
        <v>0.13200000000000001</v>
      </c>
      <c r="I851" s="1">
        <v>0.35</v>
      </c>
      <c r="J851" s="1">
        <v>2</v>
      </c>
    </row>
    <row r="852" spans="1:10" x14ac:dyDescent="0.2">
      <c r="A852" s="1" t="s">
        <v>6691</v>
      </c>
      <c r="B852" s="1" t="s">
        <v>6690</v>
      </c>
      <c r="C852" s="1" t="s">
        <v>6689</v>
      </c>
      <c r="D852" s="2" t="str">
        <f t="shared" si="13"/>
        <v>http://zfin.org/ZDB-GENE-041114-160</v>
      </c>
      <c r="E852" s="1" t="s">
        <v>6688</v>
      </c>
      <c r="F852" s="3">
        <v>2.8696837943565001E-8</v>
      </c>
      <c r="G852" s="1">
        <v>-0.471331325806912</v>
      </c>
      <c r="H852" s="1">
        <v>0.54400000000000004</v>
      </c>
      <c r="I852" s="1">
        <v>0.65</v>
      </c>
      <c r="J852" s="1">
        <v>2</v>
      </c>
    </row>
    <row r="853" spans="1:10" x14ac:dyDescent="0.2">
      <c r="A853" s="1" t="s">
        <v>6687</v>
      </c>
      <c r="B853" s="1" t="s">
        <v>6686</v>
      </c>
      <c r="C853" s="1" t="s">
        <v>6685</v>
      </c>
      <c r="D853" s="2" t="str">
        <f t="shared" si="13"/>
        <v>http://zfin.org/ZDB-GENE-030131-8623</v>
      </c>
      <c r="E853" s="1" t="s">
        <v>6684</v>
      </c>
      <c r="F853" s="1">
        <v>3.30266752183478E-4</v>
      </c>
      <c r="G853" s="1">
        <v>-0.47004880064847099</v>
      </c>
      <c r="H853" s="1">
        <v>0.27200000000000002</v>
      </c>
      <c r="I853" s="1">
        <v>0.5</v>
      </c>
      <c r="J853" s="1">
        <v>2</v>
      </c>
    </row>
    <row r="854" spans="1:10" x14ac:dyDescent="0.2">
      <c r="A854" s="1" t="s">
        <v>6683</v>
      </c>
      <c r="B854" s="1" t="s">
        <v>6682</v>
      </c>
      <c r="C854" s="1" t="s">
        <v>6681</v>
      </c>
      <c r="D854" s="2" t="str">
        <f t="shared" si="13"/>
        <v>http://zfin.org/ZDB-GENE-030131-6422</v>
      </c>
      <c r="E854" s="1" t="s">
        <v>6680</v>
      </c>
      <c r="F854" s="1">
        <v>1.4735175980886201E-4</v>
      </c>
      <c r="G854" s="1">
        <v>-0.468759118466267</v>
      </c>
      <c r="H854" s="1">
        <v>0.254</v>
      </c>
      <c r="I854" s="1">
        <v>0.41699999999999998</v>
      </c>
      <c r="J854" s="1">
        <v>2</v>
      </c>
    </row>
    <row r="855" spans="1:10" x14ac:dyDescent="0.2">
      <c r="A855" s="1" t="s">
        <v>6679</v>
      </c>
      <c r="B855" s="1" t="s">
        <v>6678</v>
      </c>
      <c r="C855" s="1" t="s">
        <v>6677</v>
      </c>
      <c r="D855" s="2" t="str">
        <f t="shared" si="13"/>
        <v>http://zfin.org/ZDB-GENE-060519-27</v>
      </c>
      <c r="E855" s="1" t="s">
        <v>6676</v>
      </c>
      <c r="F855" s="3">
        <v>2.8586694884048501E-7</v>
      </c>
      <c r="G855" s="1">
        <v>-0.46866095404870201</v>
      </c>
      <c r="H855" s="1">
        <v>0.28899999999999998</v>
      </c>
      <c r="I855" s="1">
        <v>0.5</v>
      </c>
      <c r="J855" s="1">
        <v>2</v>
      </c>
    </row>
    <row r="856" spans="1:10" x14ac:dyDescent="0.2">
      <c r="A856" s="1" t="s">
        <v>6675</v>
      </c>
      <c r="B856" s="1" t="s">
        <v>6674</v>
      </c>
      <c r="C856" s="1" t="s">
        <v>6673</v>
      </c>
      <c r="D856" s="2" t="str">
        <f t="shared" si="13"/>
        <v>http://zfin.org/ZDB-GENE-040426-1119</v>
      </c>
      <c r="E856" s="1" t="s">
        <v>6672</v>
      </c>
      <c r="F856" s="3">
        <v>1.12625441259244E-6</v>
      </c>
      <c r="G856" s="1">
        <v>-0.46839954265401501</v>
      </c>
      <c r="H856" s="1">
        <v>0.84199999999999997</v>
      </c>
      <c r="I856" s="1">
        <v>0.83299999999999996</v>
      </c>
      <c r="J856" s="1">
        <v>2</v>
      </c>
    </row>
    <row r="857" spans="1:10" x14ac:dyDescent="0.2">
      <c r="A857" s="1" t="s">
        <v>6671</v>
      </c>
      <c r="B857" s="1" t="s">
        <v>6670</v>
      </c>
      <c r="C857" s="1" t="s">
        <v>6669</v>
      </c>
      <c r="D857" s="2" t="str">
        <f t="shared" si="13"/>
        <v>http://zfin.org/ZDB-GENE-040426-989</v>
      </c>
      <c r="E857" s="1" t="s">
        <v>6668</v>
      </c>
      <c r="F857" s="3">
        <v>2.0263209581892401E-7</v>
      </c>
      <c r="G857" s="1">
        <v>-0.46836811489388103</v>
      </c>
      <c r="H857" s="1">
        <v>0.72799999999999998</v>
      </c>
      <c r="I857" s="1">
        <v>0.76700000000000002</v>
      </c>
      <c r="J857" s="1">
        <v>2</v>
      </c>
    </row>
    <row r="858" spans="1:10" x14ac:dyDescent="0.2">
      <c r="A858" s="1" t="s">
        <v>6667</v>
      </c>
      <c r="B858" s="1" t="s">
        <v>6666</v>
      </c>
      <c r="C858" s="1" t="s">
        <v>6665</v>
      </c>
      <c r="D858" s="2" t="str">
        <f t="shared" si="13"/>
        <v>http://zfin.org/ZDB-GENE-040625-10</v>
      </c>
      <c r="E858" s="1" t="s">
        <v>6664</v>
      </c>
      <c r="F858" s="3">
        <v>2.7562741332186601E-5</v>
      </c>
      <c r="G858" s="1">
        <v>-0.46771712664250198</v>
      </c>
      <c r="H858" s="1">
        <v>0.60499999999999998</v>
      </c>
      <c r="I858" s="1">
        <v>0.65</v>
      </c>
      <c r="J858" s="1">
        <v>2</v>
      </c>
    </row>
    <row r="859" spans="1:10" x14ac:dyDescent="0.2">
      <c r="A859" s="1" t="s">
        <v>6663</v>
      </c>
      <c r="B859" s="1" t="s">
        <v>6662</v>
      </c>
      <c r="C859" s="1" t="s">
        <v>6661</v>
      </c>
      <c r="D859" s="2" t="str">
        <f t="shared" si="13"/>
        <v>http://zfin.org/ZDB-GENE-040625-181</v>
      </c>
      <c r="E859" s="1" t="s">
        <v>6660</v>
      </c>
      <c r="F859" s="3">
        <v>7.0775092776116502E-6</v>
      </c>
      <c r="G859" s="1">
        <v>-0.46611703522131998</v>
      </c>
      <c r="H859" s="1">
        <v>0.29799999999999999</v>
      </c>
      <c r="I859" s="1">
        <v>0.5</v>
      </c>
      <c r="J859" s="1">
        <v>2</v>
      </c>
    </row>
    <row r="860" spans="1:10" x14ac:dyDescent="0.2">
      <c r="A860" s="1" t="s">
        <v>6659</v>
      </c>
      <c r="B860" s="1" t="s">
        <v>6658</v>
      </c>
      <c r="C860" s="1" t="s">
        <v>6657</v>
      </c>
      <c r="D860" s="2" t="str">
        <f t="shared" si="13"/>
        <v>http://zfin.org/ZDB-GENE-050227-4</v>
      </c>
      <c r="E860" s="1" t="s">
        <v>6656</v>
      </c>
      <c r="F860" s="3">
        <v>6.1648364188016506E-8</v>
      </c>
      <c r="G860" s="1">
        <v>-0.46611377239756002</v>
      </c>
      <c r="H860" s="1">
        <v>0.23699999999999999</v>
      </c>
      <c r="I860" s="1">
        <v>0.41699999999999998</v>
      </c>
      <c r="J860" s="1">
        <v>2</v>
      </c>
    </row>
    <row r="861" spans="1:10" x14ac:dyDescent="0.2">
      <c r="A861" s="1" t="s">
        <v>6655</v>
      </c>
      <c r="B861" s="1" t="s">
        <v>6654</v>
      </c>
      <c r="C861" s="1" t="s">
        <v>6653</v>
      </c>
      <c r="D861" s="2" t="str">
        <f t="shared" si="13"/>
        <v>http://zfin.org/ZDB-GENE-040718-47</v>
      </c>
      <c r="E861" s="1" t="s">
        <v>6652</v>
      </c>
      <c r="F861" s="3">
        <v>1.40325668537881E-5</v>
      </c>
      <c r="G861" s="1">
        <v>-0.46569542849511603</v>
      </c>
      <c r="H861" s="1">
        <v>0.20200000000000001</v>
      </c>
      <c r="I861" s="1">
        <v>0.35</v>
      </c>
      <c r="J861" s="1">
        <v>2</v>
      </c>
    </row>
    <row r="862" spans="1:10" x14ac:dyDescent="0.2">
      <c r="A862" s="1" t="s">
        <v>2911</v>
      </c>
      <c r="B862" s="1" t="s">
        <v>2910</v>
      </c>
      <c r="C862" s="1" t="s">
        <v>2909</v>
      </c>
      <c r="D862" s="2" t="str">
        <f t="shared" si="13"/>
        <v>http://zfin.org/ZDB-GENE-030131-8760</v>
      </c>
      <c r="E862" s="1" t="s">
        <v>6651</v>
      </c>
      <c r="F862" s="3">
        <v>6.8531482844591294E-5</v>
      </c>
      <c r="G862" s="1">
        <v>-0.46368421035908503</v>
      </c>
      <c r="H862" s="1">
        <v>0.38600000000000001</v>
      </c>
      <c r="I862" s="1">
        <v>0.48299999999999998</v>
      </c>
      <c r="J862" s="1">
        <v>2</v>
      </c>
    </row>
    <row r="863" spans="1:10" x14ac:dyDescent="0.2">
      <c r="A863" s="1" t="s">
        <v>6650</v>
      </c>
      <c r="B863" s="1" t="s">
        <v>6649</v>
      </c>
      <c r="C863" s="1" t="s">
        <v>6648</v>
      </c>
      <c r="D863" s="2" t="str">
        <f t="shared" si="13"/>
        <v>http://zfin.org/ZDB-GENE-040426-1075</v>
      </c>
      <c r="E863" s="1" t="s">
        <v>6647</v>
      </c>
      <c r="F863" s="3">
        <v>2.8800715372196299E-8</v>
      </c>
      <c r="G863" s="1">
        <v>-0.46326287373542102</v>
      </c>
      <c r="H863" s="1">
        <v>0.246</v>
      </c>
      <c r="I863" s="1">
        <v>0.317</v>
      </c>
      <c r="J863" s="1">
        <v>2</v>
      </c>
    </row>
    <row r="864" spans="1:10" x14ac:dyDescent="0.2">
      <c r="A864" s="1" t="s">
        <v>6646</v>
      </c>
      <c r="B864" s="1" t="s">
        <v>6645</v>
      </c>
      <c r="C864" s="1" t="s">
        <v>6644</v>
      </c>
      <c r="D864" s="2" t="str">
        <f t="shared" si="13"/>
        <v>http://zfin.org/ZDB-GENE-040426-1767</v>
      </c>
      <c r="E864" s="1" t="s">
        <v>6643</v>
      </c>
      <c r="F864" s="3">
        <v>7.5813089950319999E-7</v>
      </c>
      <c r="G864" s="1">
        <v>-0.463099027045482</v>
      </c>
      <c r="H864" s="1">
        <v>0.22800000000000001</v>
      </c>
      <c r="I864" s="1">
        <v>0.46700000000000003</v>
      </c>
      <c r="J864" s="1">
        <v>2</v>
      </c>
    </row>
    <row r="865" spans="1:10" x14ac:dyDescent="0.2">
      <c r="A865" s="1" t="s">
        <v>6642</v>
      </c>
      <c r="B865" s="1" t="s">
        <v>6641</v>
      </c>
      <c r="C865" s="1" t="s">
        <v>6640</v>
      </c>
      <c r="D865" s="2" t="str">
        <f t="shared" si="13"/>
        <v>http://zfin.org/ZDB-GENE-050522-181</v>
      </c>
      <c r="E865" s="1" t="s">
        <v>6639</v>
      </c>
      <c r="F865" s="3">
        <v>3.8569722893111903E-5</v>
      </c>
      <c r="G865" s="1">
        <v>-0.46252024247409002</v>
      </c>
      <c r="H865" s="1">
        <v>0.40400000000000003</v>
      </c>
      <c r="I865" s="1">
        <v>0.55000000000000004</v>
      </c>
      <c r="J865" s="1">
        <v>2</v>
      </c>
    </row>
    <row r="866" spans="1:10" x14ac:dyDescent="0.2">
      <c r="A866" s="1" t="s">
        <v>6638</v>
      </c>
      <c r="B866" s="1" t="s">
        <v>6637</v>
      </c>
      <c r="C866" s="1" t="s">
        <v>6636</v>
      </c>
      <c r="D866" s="2" t="str">
        <f t="shared" si="13"/>
        <v>http://zfin.org/ZDB-GENE-080215-2</v>
      </c>
      <c r="E866" s="1" t="s">
        <v>6635</v>
      </c>
      <c r="F866" s="1">
        <v>1.93682410632175E-3</v>
      </c>
      <c r="G866" s="1">
        <v>-0.46243449574724699</v>
      </c>
      <c r="H866" s="1">
        <v>7.0000000000000007E-2</v>
      </c>
      <c r="I866" s="1">
        <v>0.28299999999999997</v>
      </c>
      <c r="J866" s="1">
        <v>2</v>
      </c>
    </row>
    <row r="867" spans="1:10" x14ac:dyDescent="0.2">
      <c r="A867" s="1" t="s">
        <v>6634</v>
      </c>
      <c r="B867" s="1" t="s">
        <v>6633</v>
      </c>
      <c r="C867" s="1" t="s">
        <v>6632</v>
      </c>
      <c r="D867" s="2" t="str">
        <f t="shared" si="13"/>
        <v>http://zfin.org/ZDB-GENE-030131-1835</v>
      </c>
      <c r="E867" s="1" t="s">
        <v>6631</v>
      </c>
      <c r="F867" s="3">
        <v>1.09204348918713E-5</v>
      </c>
      <c r="G867" s="1">
        <v>-0.46235319899859201</v>
      </c>
      <c r="H867" s="1">
        <v>0.184</v>
      </c>
      <c r="I867" s="1">
        <v>0.38300000000000001</v>
      </c>
      <c r="J867" s="1">
        <v>2</v>
      </c>
    </row>
    <row r="868" spans="1:10" x14ac:dyDescent="0.2">
      <c r="A868" s="1" t="s">
        <v>6630</v>
      </c>
      <c r="B868" s="1" t="s">
        <v>6629</v>
      </c>
      <c r="C868" s="1" t="s">
        <v>6628</v>
      </c>
      <c r="D868" s="2" t="str">
        <f t="shared" si="13"/>
        <v>http://zfin.org/ZDB-GENE-020402-5</v>
      </c>
      <c r="E868" s="1" t="s">
        <v>6627</v>
      </c>
      <c r="F868" s="3">
        <v>2.39231552159052E-5</v>
      </c>
      <c r="G868" s="1">
        <v>-0.459831488213441</v>
      </c>
      <c r="H868" s="1">
        <v>2.5999999999999999E-2</v>
      </c>
      <c r="I868" s="1">
        <v>0.2</v>
      </c>
      <c r="J868" s="1">
        <v>2</v>
      </c>
    </row>
    <row r="869" spans="1:10" x14ac:dyDescent="0.2">
      <c r="A869" s="1" t="s">
        <v>6626</v>
      </c>
      <c r="B869" s="1" t="s">
        <v>6625</v>
      </c>
      <c r="C869" s="1" t="s">
        <v>6624</v>
      </c>
      <c r="D869" s="2" t="str">
        <f t="shared" si="13"/>
        <v>http://zfin.org/ZDB-GENE-040426-2401</v>
      </c>
      <c r="E869" s="1" t="s">
        <v>6623</v>
      </c>
      <c r="F869" s="3">
        <v>9.2663919568910499E-8</v>
      </c>
      <c r="G869" s="1">
        <v>-0.458462783644834</v>
      </c>
      <c r="H869" s="1">
        <v>0.60499999999999998</v>
      </c>
      <c r="I869" s="1">
        <v>0.61699999999999999</v>
      </c>
      <c r="J869" s="1">
        <v>2</v>
      </c>
    </row>
    <row r="870" spans="1:10" x14ac:dyDescent="0.2">
      <c r="A870" s="1" t="s">
        <v>6622</v>
      </c>
      <c r="B870" s="1" t="s">
        <v>6621</v>
      </c>
      <c r="C870" s="1" t="s">
        <v>6620</v>
      </c>
      <c r="D870" s="2" t="str">
        <f t="shared" si="13"/>
        <v>http://zfin.org/ZDB-GENE-031118-9</v>
      </c>
      <c r="E870" s="1" t="s">
        <v>6619</v>
      </c>
      <c r="F870" s="3">
        <v>3.3078421909808399E-7</v>
      </c>
      <c r="G870" s="1">
        <v>-0.45814104973285003</v>
      </c>
      <c r="H870" s="1">
        <v>3.5000000000000003E-2</v>
      </c>
      <c r="I870" s="1">
        <v>0.28299999999999997</v>
      </c>
      <c r="J870" s="1">
        <v>2</v>
      </c>
    </row>
    <row r="871" spans="1:10" x14ac:dyDescent="0.2">
      <c r="A871" s="1" t="s">
        <v>6618</v>
      </c>
      <c r="B871" s="1" t="s">
        <v>6617</v>
      </c>
      <c r="C871" s="1" t="s">
        <v>6616</v>
      </c>
      <c r="D871" s="2" t="str">
        <f t="shared" si="13"/>
        <v>http://zfin.org/ZDB-GENE-030131-1005</v>
      </c>
      <c r="E871" s="1" t="s">
        <v>6615</v>
      </c>
      <c r="F871" s="3">
        <v>7.4933410282852695E-8</v>
      </c>
      <c r="G871" s="1">
        <v>-0.458068640427713</v>
      </c>
      <c r="H871" s="1">
        <v>0.95599999999999996</v>
      </c>
      <c r="I871" s="1">
        <v>0.9</v>
      </c>
      <c r="J871" s="1">
        <v>2</v>
      </c>
    </row>
    <row r="872" spans="1:10" x14ac:dyDescent="0.2">
      <c r="A872" s="1" t="s">
        <v>6614</v>
      </c>
      <c r="B872" s="1" t="s">
        <v>6613</v>
      </c>
      <c r="C872" s="1" t="s">
        <v>6612</v>
      </c>
      <c r="D872" s="2" t="str">
        <f t="shared" si="13"/>
        <v>http://zfin.org/ZDB-GENE-030131-2891</v>
      </c>
      <c r="E872" s="1" t="s">
        <v>6611</v>
      </c>
      <c r="F872" s="1">
        <v>2.3558118875276199E-4</v>
      </c>
      <c r="G872" s="1">
        <v>-0.45791038061546402</v>
      </c>
      <c r="H872" s="1">
        <v>0.184</v>
      </c>
      <c r="I872" s="1">
        <v>0.45</v>
      </c>
      <c r="J872" s="1">
        <v>2</v>
      </c>
    </row>
    <row r="873" spans="1:10" x14ac:dyDescent="0.2">
      <c r="A873" s="1" t="s">
        <v>421</v>
      </c>
      <c r="B873" s="1" t="s">
        <v>420</v>
      </c>
      <c r="C873" s="1" t="s">
        <v>419</v>
      </c>
      <c r="D873" s="2" t="str">
        <f t="shared" si="13"/>
        <v>http://zfin.org/ZDB-GENE-091112-16</v>
      </c>
      <c r="E873" s="1" t="s">
        <v>6610</v>
      </c>
      <c r="F873" s="3">
        <v>1.8668152267069799E-7</v>
      </c>
      <c r="G873" s="1">
        <v>-0.45733334250059898</v>
      </c>
      <c r="H873" s="1">
        <v>0.64</v>
      </c>
      <c r="I873" s="1">
        <v>0.56699999999999995</v>
      </c>
      <c r="J873" s="1">
        <v>2</v>
      </c>
    </row>
    <row r="874" spans="1:10" x14ac:dyDescent="0.2">
      <c r="A874" s="1" t="s">
        <v>6609</v>
      </c>
      <c r="B874" s="1" t="s">
        <v>6608</v>
      </c>
      <c r="C874" s="1" t="s">
        <v>6607</v>
      </c>
      <c r="D874" s="2" t="str">
        <f t="shared" si="13"/>
        <v>http://zfin.org/ZDB-GENE-041010-218</v>
      </c>
      <c r="E874" s="1" t="s">
        <v>6606</v>
      </c>
      <c r="F874" s="3">
        <v>1.61489776685246E-5</v>
      </c>
      <c r="G874" s="1">
        <v>-0.45726231940478501</v>
      </c>
      <c r="H874" s="1">
        <v>0.13200000000000001</v>
      </c>
      <c r="I874" s="1">
        <v>0.33300000000000002</v>
      </c>
      <c r="J874" s="1">
        <v>2</v>
      </c>
    </row>
    <row r="875" spans="1:10" x14ac:dyDescent="0.2">
      <c r="A875" s="1" t="s">
        <v>3025</v>
      </c>
      <c r="B875" s="1" t="s">
        <v>3024</v>
      </c>
      <c r="C875" s="1" t="s">
        <v>3023</v>
      </c>
      <c r="D875" s="2" t="str">
        <f t="shared" si="13"/>
        <v>http://zfin.org/ZDB-GENE-030131-925</v>
      </c>
      <c r="E875" s="1" t="s">
        <v>6605</v>
      </c>
      <c r="F875" s="3">
        <v>9.6282493940902893E-6</v>
      </c>
      <c r="G875" s="1">
        <v>-0.45622260969839501</v>
      </c>
      <c r="H875" s="1">
        <v>0.95599999999999996</v>
      </c>
      <c r="I875" s="1">
        <v>0.93300000000000005</v>
      </c>
      <c r="J875" s="1">
        <v>2</v>
      </c>
    </row>
    <row r="876" spans="1:10" x14ac:dyDescent="0.2">
      <c r="A876" s="1" t="s">
        <v>3516</v>
      </c>
      <c r="B876" s="1" t="s">
        <v>3515</v>
      </c>
      <c r="C876" s="1" t="s">
        <v>3514</v>
      </c>
      <c r="D876" s="2" t="str">
        <f t="shared" si="13"/>
        <v>http://zfin.org/ZDB-GENE-040426-1936</v>
      </c>
      <c r="E876" s="1" t="s">
        <v>6604</v>
      </c>
      <c r="F876" s="1">
        <v>1.8932725410461099E-3</v>
      </c>
      <c r="G876" s="1">
        <v>-0.455542080703983</v>
      </c>
      <c r="H876" s="1">
        <v>0.16700000000000001</v>
      </c>
      <c r="I876" s="1">
        <v>0.35</v>
      </c>
      <c r="J876" s="1">
        <v>2</v>
      </c>
    </row>
    <row r="877" spans="1:10" x14ac:dyDescent="0.2">
      <c r="A877" s="1" t="s">
        <v>6603</v>
      </c>
      <c r="B877" s="1" t="s">
        <v>6602</v>
      </c>
      <c r="C877" s="1" t="s">
        <v>6601</v>
      </c>
      <c r="D877" s="2" t="str">
        <f t="shared" si="13"/>
        <v>http://zfin.org/ZDB-GENE-030131-4362</v>
      </c>
      <c r="E877" s="1" t="s">
        <v>6600</v>
      </c>
      <c r="F877" s="3">
        <v>7.01684418074544E-5</v>
      </c>
      <c r="G877" s="1">
        <v>-0.454183957887493</v>
      </c>
      <c r="H877" s="1">
        <v>0.123</v>
      </c>
      <c r="I877" s="1">
        <v>0.41699999999999998</v>
      </c>
      <c r="J877" s="1">
        <v>2</v>
      </c>
    </row>
    <row r="878" spans="1:10" x14ac:dyDescent="0.2">
      <c r="A878" s="1" t="s">
        <v>6599</v>
      </c>
      <c r="B878" s="1" t="s">
        <v>6598</v>
      </c>
      <c r="C878" s="1" t="s">
        <v>6597</v>
      </c>
      <c r="D878" s="2" t="str">
        <f t="shared" si="13"/>
        <v>http://zfin.org/ZDB-GENE-040426-2343</v>
      </c>
      <c r="E878" s="1" t="s">
        <v>6596</v>
      </c>
      <c r="F878" s="1">
        <v>1.21994189335E-4</v>
      </c>
      <c r="G878" s="1">
        <v>-0.45374667084314702</v>
      </c>
      <c r="H878" s="1">
        <v>7.0000000000000007E-2</v>
      </c>
      <c r="I878" s="1">
        <v>0.16700000000000001</v>
      </c>
      <c r="J878" s="1">
        <v>2</v>
      </c>
    </row>
    <row r="879" spans="1:10" x14ac:dyDescent="0.2">
      <c r="A879" s="1" t="s">
        <v>6595</v>
      </c>
      <c r="B879" s="1" t="s">
        <v>6594</v>
      </c>
      <c r="C879" s="1" t="s">
        <v>6593</v>
      </c>
      <c r="D879" s="2" t="str">
        <f t="shared" si="13"/>
        <v>http://zfin.org/ZDB-GENE-050522-159</v>
      </c>
      <c r="E879" s="1" t="s">
        <v>6592</v>
      </c>
      <c r="F879" s="3">
        <v>4.5952396625209902E-6</v>
      </c>
      <c r="G879" s="1">
        <v>-0.45351680674509898</v>
      </c>
      <c r="H879" s="1">
        <v>0.77200000000000002</v>
      </c>
      <c r="I879" s="1">
        <v>0.66700000000000004</v>
      </c>
      <c r="J879" s="1">
        <v>2</v>
      </c>
    </row>
    <row r="880" spans="1:10" x14ac:dyDescent="0.2">
      <c r="A880" s="1" t="s">
        <v>6591</v>
      </c>
      <c r="B880" s="1" t="s">
        <v>6590</v>
      </c>
      <c r="C880" s="1" t="s">
        <v>6589</v>
      </c>
      <c r="D880" s="2" t="str">
        <f t="shared" si="13"/>
        <v>http://zfin.org/ZDB-GENE-120206-1</v>
      </c>
      <c r="E880" s="1" t="s">
        <v>6588</v>
      </c>
      <c r="F880" s="3">
        <v>6.1790284347473603E-5</v>
      </c>
      <c r="G880" s="1">
        <v>-0.45329797253599302</v>
      </c>
      <c r="H880" s="1">
        <v>0.14000000000000001</v>
      </c>
      <c r="I880" s="1">
        <v>0.25</v>
      </c>
      <c r="J880" s="1">
        <v>2</v>
      </c>
    </row>
    <row r="881" spans="1:10" x14ac:dyDescent="0.2">
      <c r="A881" s="1" t="s">
        <v>6587</v>
      </c>
      <c r="B881" s="1" t="s">
        <v>6586</v>
      </c>
      <c r="C881" s="1" t="s">
        <v>6585</v>
      </c>
      <c r="D881" s="2" t="str">
        <f t="shared" si="13"/>
        <v>http://zfin.org/ZDB-GENE-011018-2</v>
      </c>
      <c r="E881" s="1" t="s">
        <v>6584</v>
      </c>
      <c r="F881" s="1">
        <v>1.8394142464541799E-3</v>
      </c>
      <c r="G881" s="1">
        <v>-0.45309353544924802</v>
      </c>
      <c r="H881" s="1">
        <v>0.34200000000000003</v>
      </c>
      <c r="I881" s="1">
        <v>0.51700000000000002</v>
      </c>
      <c r="J881" s="1">
        <v>2</v>
      </c>
    </row>
    <row r="882" spans="1:10" x14ac:dyDescent="0.2">
      <c r="A882" s="1" t="s">
        <v>6583</v>
      </c>
      <c r="B882" s="1" t="s">
        <v>6582</v>
      </c>
      <c r="C882" s="1" t="s">
        <v>6581</v>
      </c>
      <c r="D882" s="2" t="str">
        <f t="shared" si="13"/>
        <v>http://zfin.org/ZDB-GENE-030131-9345</v>
      </c>
      <c r="E882" s="1" t="s">
        <v>6580</v>
      </c>
      <c r="F882" s="1">
        <v>1.90459479482704E-4</v>
      </c>
      <c r="G882" s="1">
        <v>-0.45301863738291498</v>
      </c>
      <c r="H882" s="1">
        <v>6.0999999999999999E-2</v>
      </c>
      <c r="I882" s="1">
        <v>0.23300000000000001</v>
      </c>
      <c r="J882" s="1">
        <v>2</v>
      </c>
    </row>
    <row r="883" spans="1:10" x14ac:dyDescent="0.2">
      <c r="A883" s="1" t="s">
        <v>6579</v>
      </c>
      <c r="B883" s="1" t="s">
        <v>6578</v>
      </c>
      <c r="C883" s="1" t="s">
        <v>6577</v>
      </c>
      <c r="D883" s="2" t="str">
        <f t="shared" si="13"/>
        <v>http://zfin.org/ZDB-GENE-070112-702</v>
      </c>
      <c r="E883" s="1" t="s">
        <v>6576</v>
      </c>
      <c r="F883" s="3">
        <v>4.84849065743814E-5</v>
      </c>
      <c r="G883" s="1">
        <v>-0.45259923734333302</v>
      </c>
      <c r="H883" s="1">
        <v>0.114</v>
      </c>
      <c r="I883" s="1">
        <v>0.36699999999999999</v>
      </c>
      <c r="J883" s="1">
        <v>2</v>
      </c>
    </row>
    <row r="884" spans="1:10" x14ac:dyDescent="0.2">
      <c r="A884" s="1" t="s">
        <v>3418</v>
      </c>
      <c r="B884" s="1" t="s">
        <v>3417</v>
      </c>
      <c r="C884" s="1" t="s">
        <v>3416</v>
      </c>
      <c r="D884" s="2" t="str">
        <f t="shared" si="13"/>
        <v>http://zfin.org/ZDB-GENE-040426-1415</v>
      </c>
      <c r="E884" s="1" t="s">
        <v>6575</v>
      </c>
      <c r="F884" s="3">
        <v>1.9982787184391101E-7</v>
      </c>
      <c r="G884" s="1">
        <v>-0.45234786665454102</v>
      </c>
      <c r="H884" s="1">
        <v>0.184</v>
      </c>
      <c r="I884" s="1">
        <v>0.4</v>
      </c>
      <c r="J884" s="1">
        <v>2</v>
      </c>
    </row>
    <row r="885" spans="1:10" x14ac:dyDescent="0.2">
      <c r="A885" s="1" t="s">
        <v>2534</v>
      </c>
      <c r="B885" s="1" t="s">
        <v>2533</v>
      </c>
      <c r="C885" s="1" t="s">
        <v>2532</v>
      </c>
      <c r="D885" s="2" t="str">
        <f t="shared" si="13"/>
        <v>http://zfin.org/ZDB-GENE-080229-6</v>
      </c>
      <c r="E885" s="1" t="s">
        <v>6574</v>
      </c>
      <c r="F885" s="3">
        <v>1.7121805706361699E-6</v>
      </c>
      <c r="G885" s="1">
        <v>-0.45215905448473798</v>
      </c>
      <c r="H885" s="1">
        <v>7.9000000000000001E-2</v>
      </c>
      <c r="I885" s="1">
        <v>0.23300000000000001</v>
      </c>
      <c r="J885" s="1">
        <v>2</v>
      </c>
    </row>
    <row r="886" spans="1:10" x14ac:dyDescent="0.2">
      <c r="A886" s="1" t="s">
        <v>6573</v>
      </c>
      <c r="B886" s="1" t="s">
        <v>6572</v>
      </c>
      <c r="C886" s="1" t="s">
        <v>6571</v>
      </c>
      <c r="D886" s="2" t="str">
        <f t="shared" si="13"/>
        <v>http://zfin.org/ZDB-GENE-040426-2340</v>
      </c>
      <c r="E886" s="1" t="s">
        <v>6570</v>
      </c>
      <c r="F886" s="3">
        <v>2.8036496292154099E-5</v>
      </c>
      <c r="G886" s="1">
        <v>-0.45205410434991999</v>
      </c>
      <c r="H886" s="1">
        <v>0.29799999999999999</v>
      </c>
      <c r="I886" s="1">
        <v>0.41699999999999998</v>
      </c>
      <c r="J886" s="1">
        <v>2</v>
      </c>
    </row>
    <row r="887" spans="1:10" x14ac:dyDescent="0.2">
      <c r="A887" s="1" t="s">
        <v>6569</v>
      </c>
      <c r="B887" s="1" t="s">
        <v>6568</v>
      </c>
      <c r="C887" s="1" t="s">
        <v>6567</v>
      </c>
      <c r="D887" s="2" t="str">
        <f t="shared" si="13"/>
        <v>http://zfin.org/ZDB-GENE-050913-90</v>
      </c>
      <c r="E887" s="1" t="s">
        <v>6566</v>
      </c>
      <c r="F887" s="1">
        <v>1.4398153860082499E-4</v>
      </c>
      <c r="G887" s="1">
        <v>-0.451139524231218</v>
      </c>
      <c r="H887" s="1">
        <v>8.9999999999999993E-3</v>
      </c>
      <c r="I887" s="1">
        <v>0.2</v>
      </c>
      <c r="J887" s="1">
        <v>2</v>
      </c>
    </row>
    <row r="888" spans="1:10" x14ac:dyDescent="0.2">
      <c r="A888" s="1" t="s">
        <v>6565</v>
      </c>
      <c r="B888" s="1" t="s">
        <v>6564</v>
      </c>
      <c r="C888" s="1" t="s">
        <v>6563</v>
      </c>
      <c r="D888" s="2" t="str">
        <f t="shared" si="13"/>
        <v>http://zfin.org/</v>
      </c>
      <c r="E888" s="1" t="s">
        <v>4625</v>
      </c>
      <c r="F888" s="1">
        <v>2.8470022519807003E-4</v>
      </c>
      <c r="G888" s="1">
        <v>-0.45092801797648402</v>
      </c>
      <c r="H888" s="1">
        <v>7.9000000000000001E-2</v>
      </c>
      <c r="I888" s="1">
        <v>0.26700000000000002</v>
      </c>
      <c r="J888" s="1">
        <v>2</v>
      </c>
    </row>
    <row r="889" spans="1:10" x14ac:dyDescent="0.2">
      <c r="A889" s="1" t="s">
        <v>3210</v>
      </c>
      <c r="B889" s="1" t="s">
        <v>3209</v>
      </c>
      <c r="C889" s="1" t="s">
        <v>3208</v>
      </c>
      <c r="D889" s="2" t="str">
        <f t="shared" si="13"/>
        <v>http://zfin.org/ZDB-GENE-030707-1</v>
      </c>
      <c r="E889" s="1" t="s">
        <v>6562</v>
      </c>
      <c r="F889" s="1">
        <v>6.0102331644758204E-3</v>
      </c>
      <c r="G889" s="1">
        <v>-0.45028310231462598</v>
      </c>
      <c r="H889" s="1">
        <v>0.54400000000000004</v>
      </c>
      <c r="I889" s="1">
        <v>0.71699999999999997</v>
      </c>
      <c r="J889" s="1">
        <v>2</v>
      </c>
    </row>
    <row r="890" spans="1:10" x14ac:dyDescent="0.2">
      <c r="A890" s="1" t="s">
        <v>6561</v>
      </c>
      <c r="B890" s="1" t="s">
        <v>6560</v>
      </c>
      <c r="C890" s="1" t="s">
        <v>6559</v>
      </c>
      <c r="D890" s="2" t="str">
        <f t="shared" si="13"/>
        <v>http://zfin.org/ZDB-GENE-030131-5845</v>
      </c>
      <c r="E890" s="1" t="s">
        <v>6558</v>
      </c>
      <c r="F890" s="3">
        <v>1.0987276425790701E-8</v>
      </c>
      <c r="G890" s="1">
        <v>-0.45018255947396102</v>
      </c>
      <c r="H890" s="1">
        <v>0.33300000000000002</v>
      </c>
      <c r="I890" s="1">
        <v>0.38300000000000001</v>
      </c>
      <c r="J890" s="1">
        <v>2</v>
      </c>
    </row>
    <row r="891" spans="1:10" x14ac:dyDescent="0.2">
      <c r="A891" s="1" t="s">
        <v>6557</v>
      </c>
      <c r="B891" s="1" t="s">
        <v>6556</v>
      </c>
      <c r="C891" s="1" t="s">
        <v>6555</v>
      </c>
      <c r="D891" s="2" t="str">
        <f t="shared" si="13"/>
        <v>http://zfin.org/ZDB-GENE-040625-34</v>
      </c>
      <c r="E891" s="1" t="s">
        <v>6554</v>
      </c>
      <c r="F891" s="3">
        <v>5.5259801004208402E-6</v>
      </c>
      <c r="G891" s="1">
        <v>-0.44941886536749398</v>
      </c>
      <c r="H891" s="1">
        <v>0.54400000000000004</v>
      </c>
      <c r="I891" s="1">
        <v>0.66700000000000004</v>
      </c>
      <c r="J891" s="1">
        <v>2</v>
      </c>
    </row>
    <row r="892" spans="1:10" x14ac:dyDescent="0.2">
      <c r="A892" s="1" t="s">
        <v>6553</v>
      </c>
      <c r="B892" s="1" t="s">
        <v>6552</v>
      </c>
      <c r="C892" s="1" t="s">
        <v>6551</v>
      </c>
      <c r="D892" s="2" t="str">
        <f t="shared" si="13"/>
        <v>http://zfin.org/ZDB-GENE-030131-3136</v>
      </c>
      <c r="E892" s="1" t="s">
        <v>6550</v>
      </c>
      <c r="F892" s="3">
        <v>4.4369813261102702E-5</v>
      </c>
      <c r="G892" s="1">
        <v>-0.44930752732234602</v>
      </c>
      <c r="H892" s="1">
        <v>3.5000000000000003E-2</v>
      </c>
      <c r="I892" s="1">
        <v>0.217</v>
      </c>
      <c r="J892" s="1">
        <v>2</v>
      </c>
    </row>
    <row r="893" spans="1:10" x14ac:dyDescent="0.2">
      <c r="A893" s="1" t="s">
        <v>6549</v>
      </c>
      <c r="B893" s="1" t="s">
        <v>6548</v>
      </c>
      <c r="C893" s="1" t="s">
        <v>6547</v>
      </c>
      <c r="D893" s="2" t="str">
        <f t="shared" si="13"/>
        <v>http://zfin.org/ZDB-GENE-030131-8731</v>
      </c>
      <c r="E893" s="1" t="s">
        <v>6546</v>
      </c>
      <c r="F893" s="3">
        <v>1.32481454107739E-9</v>
      </c>
      <c r="G893" s="1">
        <v>-0.44771961891380502</v>
      </c>
      <c r="H893" s="1">
        <v>0.95599999999999996</v>
      </c>
      <c r="I893" s="1">
        <v>0.88300000000000001</v>
      </c>
      <c r="J893" s="1">
        <v>2</v>
      </c>
    </row>
    <row r="894" spans="1:10" x14ac:dyDescent="0.2">
      <c r="A894" s="1" t="s">
        <v>6545</v>
      </c>
      <c r="B894" s="1" t="s">
        <v>6544</v>
      </c>
      <c r="C894" s="1" t="s">
        <v>6543</v>
      </c>
      <c r="D894" s="2" t="str">
        <f t="shared" si="13"/>
        <v>http://zfin.org/ZDB-GENE-030131-587</v>
      </c>
      <c r="E894" s="1" t="s">
        <v>6542</v>
      </c>
      <c r="F894" s="1">
        <v>4.1728913565246902E-4</v>
      </c>
      <c r="G894" s="1">
        <v>-0.44739464139084001</v>
      </c>
      <c r="H894" s="1">
        <v>0.36</v>
      </c>
      <c r="I894" s="1">
        <v>0.53300000000000003</v>
      </c>
      <c r="J894" s="1">
        <v>2</v>
      </c>
    </row>
    <row r="895" spans="1:10" x14ac:dyDescent="0.2">
      <c r="A895" s="1" t="s">
        <v>3767</v>
      </c>
      <c r="B895" s="1" t="s">
        <v>3766</v>
      </c>
      <c r="C895" s="1" t="s">
        <v>3765</v>
      </c>
      <c r="D895" s="2" t="str">
        <f t="shared" si="13"/>
        <v>http://zfin.org/ZDB-GENE-061103-178</v>
      </c>
      <c r="E895" s="1" t="s">
        <v>6541</v>
      </c>
      <c r="F895" s="1">
        <v>3.74597971465507E-4</v>
      </c>
      <c r="G895" s="1">
        <v>-0.44656412130922701</v>
      </c>
      <c r="H895" s="1">
        <v>0.28100000000000003</v>
      </c>
      <c r="I895" s="1">
        <v>0.5</v>
      </c>
      <c r="J895" s="1">
        <v>2</v>
      </c>
    </row>
    <row r="896" spans="1:10" x14ac:dyDescent="0.2">
      <c r="A896" s="1" t="s">
        <v>6540</v>
      </c>
      <c r="B896" s="1" t="s">
        <v>6539</v>
      </c>
      <c r="C896" s="1" t="s">
        <v>6538</v>
      </c>
      <c r="D896" s="2" t="str">
        <f t="shared" si="13"/>
        <v>http://zfin.org/ZDB-GENE-080723-31</v>
      </c>
      <c r="E896" s="1" t="s">
        <v>6537</v>
      </c>
      <c r="F896" s="3">
        <v>4.0271023579832702E-5</v>
      </c>
      <c r="G896" s="1">
        <v>-0.446442402552997</v>
      </c>
      <c r="H896" s="1">
        <v>0.13200000000000001</v>
      </c>
      <c r="I896" s="1">
        <v>0.28299999999999997</v>
      </c>
      <c r="J896" s="1">
        <v>2</v>
      </c>
    </row>
    <row r="897" spans="1:10" x14ac:dyDescent="0.2">
      <c r="A897" s="1" t="s">
        <v>4310</v>
      </c>
      <c r="B897" s="1" t="s">
        <v>4309</v>
      </c>
      <c r="C897" s="1" t="s">
        <v>4308</v>
      </c>
      <c r="D897" s="2" t="str">
        <f t="shared" si="13"/>
        <v>http://zfin.org/ZDB-GENE-041212-71</v>
      </c>
      <c r="E897" s="1" t="s">
        <v>6536</v>
      </c>
      <c r="F897" s="1">
        <v>1.12648220910537E-4</v>
      </c>
      <c r="G897" s="1">
        <v>-0.44618760017453102</v>
      </c>
      <c r="H897" s="1">
        <v>8.7999999999999995E-2</v>
      </c>
      <c r="I897" s="1">
        <v>0.183</v>
      </c>
      <c r="J897" s="1">
        <v>2</v>
      </c>
    </row>
    <row r="898" spans="1:10" x14ac:dyDescent="0.2">
      <c r="A898" s="1" t="s">
        <v>6535</v>
      </c>
      <c r="B898" s="1" t="s">
        <v>6534</v>
      </c>
      <c r="C898" s="1" t="s">
        <v>6533</v>
      </c>
      <c r="D898" s="2" t="str">
        <f t="shared" ref="D898:D961" si="14">HYPERLINK(E898)</f>
        <v>http://zfin.org/ZDB-GENE-060825-37</v>
      </c>
      <c r="E898" s="1" t="s">
        <v>6532</v>
      </c>
      <c r="F898" s="3">
        <v>1.37517788136972E-6</v>
      </c>
      <c r="G898" s="1">
        <v>-0.44608160862475799</v>
      </c>
      <c r="H898" s="1">
        <v>0.28899999999999998</v>
      </c>
      <c r="I898" s="1">
        <v>0.45</v>
      </c>
      <c r="J898" s="1">
        <v>2</v>
      </c>
    </row>
    <row r="899" spans="1:10" x14ac:dyDescent="0.2">
      <c r="A899" s="1" t="s">
        <v>6531</v>
      </c>
      <c r="B899" s="1" t="s">
        <v>6530</v>
      </c>
      <c r="C899" s="1" t="s">
        <v>6529</v>
      </c>
      <c r="D899" s="2" t="str">
        <f t="shared" si="14"/>
        <v>http://zfin.org/ZDB-GENE-040426-730</v>
      </c>
      <c r="E899" s="1" t="s">
        <v>6528</v>
      </c>
      <c r="F899" s="1">
        <v>1.4876262758950899E-4</v>
      </c>
      <c r="G899" s="1">
        <v>-0.445490284098571</v>
      </c>
      <c r="H899" s="1">
        <v>0.64900000000000002</v>
      </c>
      <c r="I899" s="1">
        <v>0.76700000000000002</v>
      </c>
      <c r="J899" s="1">
        <v>2</v>
      </c>
    </row>
    <row r="900" spans="1:10" x14ac:dyDescent="0.2">
      <c r="A900" s="1" t="s">
        <v>6527</v>
      </c>
      <c r="B900" s="1" t="s">
        <v>6526</v>
      </c>
      <c r="C900" s="1" t="s">
        <v>6525</v>
      </c>
      <c r="D900" s="2" t="str">
        <f t="shared" si="14"/>
        <v>http://zfin.org/ZDB-GENE-030131-6166</v>
      </c>
      <c r="E900" s="1" t="s">
        <v>6524</v>
      </c>
      <c r="F900" s="3">
        <v>3.0954915631862899E-7</v>
      </c>
      <c r="G900" s="1">
        <v>-0.44523864496973198</v>
      </c>
      <c r="H900" s="1">
        <v>0.40400000000000003</v>
      </c>
      <c r="I900" s="1">
        <v>0.5</v>
      </c>
      <c r="J900" s="1">
        <v>2</v>
      </c>
    </row>
    <row r="901" spans="1:10" x14ac:dyDescent="0.2">
      <c r="A901" s="1" t="s">
        <v>6523</v>
      </c>
      <c r="B901" s="1" t="s">
        <v>6522</v>
      </c>
      <c r="C901" s="1" t="s">
        <v>6521</v>
      </c>
      <c r="D901" s="2" t="str">
        <f t="shared" si="14"/>
        <v>http://zfin.org/ZDB-GENE-040426-841</v>
      </c>
      <c r="E901" s="1" t="s">
        <v>6520</v>
      </c>
      <c r="F901" s="3">
        <v>1.8040902815115601E-5</v>
      </c>
      <c r="G901" s="1">
        <v>-0.44496795333038602</v>
      </c>
      <c r="H901" s="1">
        <v>0.14899999999999999</v>
      </c>
      <c r="I901" s="1">
        <v>0.317</v>
      </c>
      <c r="J901" s="1">
        <v>2</v>
      </c>
    </row>
    <row r="902" spans="1:10" x14ac:dyDescent="0.2">
      <c r="A902" s="1" t="s">
        <v>6519</v>
      </c>
      <c r="B902" s="1" t="s">
        <v>6518</v>
      </c>
      <c r="C902" s="1" t="s">
        <v>6517</v>
      </c>
      <c r="D902" s="2" t="str">
        <f t="shared" si="14"/>
        <v>http://zfin.org/ZDB-GENE-030131-395</v>
      </c>
      <c r="E902" s="1" t="s">
        <v>6516</v>
      </c>
      <c r="F902" s="3">
        <v>2.37630929301224E-7</v>
      </c>
      <c r="G902" s="1">
        <v>-0.44438651542083202</v>
      </c>
      <c r="H902" s="1">
        <v>0.307</v>
      </c>
      <c r="I902" s="1">
        <v>0.45</v>
      </c>
      <c r="J902" s="1">
        <v>2</v>
      </c>
    </row>
    <row r="903" spans="1:10" x14ac:dyDescent="0.2">
      <c r="A903" s="1" t="s">
        <v>6515</v>
      </c>
      <c r="B903" s="1" t="s">
        <v>6514</v>
      </c>
      <c r="C903" s="1" t="s">
        <v>6513</v>
      </c>
      <c r="D903" s="2" t="str">
        <f t="shared" si="14"/>
        <v>http://zfin.org/ZDB-GENE-030131-13</v>
      </c>
      <c r="E903" s="1" t="s">
        <v>6512</v>
      </c>
      <c r="F903" s="3">
        <v>1.9693519842382499E-7</v>
      </c>
      <c r="G903" s="1">
        <v>-0.44340758483421699</v>
      </c>
      <c r="H903" s="1">
        <v>0.22800000000000001</v>
      </c>
      <c r="I903" s="1">
        <v>0.4</v>
      </c>
      <c r="J903" s="1">
        <v>2</v>
      </c>
    </row>
    <row r="904" spans="1:10" x14ac:dyDescent="0.2">
      <c r="A904" s="1" t="s">
        <v>6511</v>
      </c>
      <c r="B904" s="1" t="s">
        <v>6510</v>
      </c>
      <c r="C904" s="1" t="s">
        <v>6509</v>
      </c>
      <c r="D904" s="2" t="str">
        <f t="shared" si="14"/>
        <v>http://zfin.org/ZDB-GENE-050417-52</v>
      </c>
      <c r="E904" s="1" t="s">
        <v>6508</v>
      </c>
      <c r="F904" s="3">
        <v>4.4261823332404697E-5</v>
      </c>
      <c r="G904" s="1">
        <v>-0.44310687245499902</v>
      </c>
      <c r="H904" s="1">
        <v>0.246</v>
      </c>
      <c r="I904" s="1">
        <v>0.433</v>
      </c>
      <c r="J904" s="1">
        <v>2</v>
      </c>
    </row>
    <row r="905" spans="1:10" x14ac:dyDescent="0.2">
      <c r="A905" s="1" t="s">
        <v>1633</v>
      </c>
      <c r="B905" s="1" t="s">
        <v>1632</v>
      </c>
      <c r="C905" s="1" t="s">
        <v>1631</v>
      </c>
      <c r="D905" s="2" t="str">
        <f t="shared" si="14"/>
        <v>http://zfin.org/ZDB-GENE-050417-96</v>
      </c>
      <c r="E905" s="1" t="s">
        <v>6507</v>
      </c>
      <c r="F905" s="3">
        <v>9.6332617544553703E-8</v>
      </c>
      <c r="G905" s="1">
        <v>-0.44255261055956402</v>
      </c>
      <c r="H905" s="1">
        <v>0.39500000000000002</v>
      </c>
      <c r="I905" s="1">
        <v>0.48299999999999998</v>
      </c>
      <c r="J905" s="1">
        <v>2</v>
      </c>
    </row>
    <row r="906" spans="1:10" x14ac:dyDescent="0.2">
      <c r="A906" s="1" t="s">
        <v>1489</v>
      </c>
      <c r="B906" s="1" t="s">
        <v>1488</v>
      </c>
      <c r="C906" s="1" t="s">
        <v>1487</v>
      </c>
      <c r="D906" s="2" t="str">
        <f t="shared" si="14"/>
        <v>http://zfin.org/ZDB-GENE-030131-9077</v>
      </c>
      <c r="E906" s="1" t="s">
        <v>6506</v>
      </c>
      <c r="F906" s="3">
        <v>1.4664307263769299E-5</v>
      </c>
      <c r="G906" s="1">
        <v>-0.44241412491906701</v>
      </c>
      <c r="H906" s="1">
        <v>0.36799999999999999</v>
      </c>
      <c r="I906" s="1">
        <v>0.53300000000000003</v>
      </c>
      <c r="J906" s="1">
        <v>2</v>
      </c>
    </row>
    <row r="907" spans="1:10" x14ac:dyDescent="0.2">
      <c r="A907" s="1" t="s">
        <v>6505</v>
      </c>
      <c r="B907" s="1" t="s">
        <v>6504</v>
      </c>
      <c r="C907" s="1" t="s">
        <v>6503</v>
      </c>
      <c r="D907" s="2" t="str">
        <f t="shared" si="14"/>
        <v>http://zfin.org/ZDB-GENE-040116-8</v>
      </c>
      <c r="E907" s="1" t="s">
        <v>6502</v>
      </c>
      <c r="F907" s="1">
        <v>1.28151520840767E-3</v>
      </c>
      <c r="G907" s="1">
        <v>-0.44209104010807398</v>
      </c>
      <c r="H907" s="1">
        <v>9.6000000000000002E-2</v>
      </c>
      <c r="I907" s="1">
        <v>0.33300000000000002</v>
      </c>
      <c r="J907" s="1">
        <v>2</v>
      </c>
    </row>
    <row r="908" spans="1:10" x14ac:dyDescent="0.2">
      <c r="A908" s="1" t="s">
        <v>6501</v>
      </c>
      <c r="B908" s="1" t="s">
        <v>6500</v>
      </c>
      <c r="C908" s="1" t="s">
        <v>6499</v>
      </c>
      <c r="D908" s="2" t="str">
        <f t="shared" si="14"/>
        <v>http://zfin.org/ZDB-GENE-030131-4803</v>
      </c>
      <c r="E908" s="1" t="s">
        <v>6498</v>
      </c>
      <c r="F908" s="3">
        <v>3.9476939414836799E-7</v>
      </c>
      <c r="G908" s="1">
        <v>-0.44151459542463001</v>
      </c>
      <c r="H908" s="1">
        <v>0.105</v>
      </c>
      <c r="I908" s="1">
        <v>0.33300000000000002</v>
      </c>
      <c r="J908" s="1">
        <v>2</v>
      </c>
    </row>
    <row r="909" spans="1:10" x14ac:dyDescent="0.2">
      <c r="A909" s="1" t="s">
        <v>6497</v>
      </c>
      <c r="B909" s="1" t="s">
        <v>6496</v>
      </c>
      <c r="C909" s="1" t="s">
        <v>6495</v>
      </c>
      <c r="D909" s="2" t="str">
        <f t="shared" si="14"/>
        <v>http://zfin.org/ZDB-GENE-040426-1235</v>
      </c>
      <c r="E909" s="1" t="s">
        <v>6494</v>
      </c>
      <c r="F909" s="3">
        <v>4.5112854408190698E-7</v>
      </c>
      <c r="G909" s="1">
        <v>-0.44043870894325599</v>
      </c>
      <c r="H909" s="1">
        <v>0.55300000000000005</v>
      </c>
      <c r="I909" s="1">
        <v>0.6</v>
      </c>
      <c r="J909" s="1">
        <v>2</v>
      </c>
    </row>
    <row r="910" spans="1:10" x14ac:dyDescent="0.2">
      <c r="A910" s="1" t="s">
        <v>3510</v>
      </c>
      <c r="B910" s="1" t="s">
        <v>3509</v>
      </c>
      <c r="C910" s="1" t="s">
        <v>3508</v>
      </c>
      <c r="D910" s="2" t="str">
        <f t="shared" si="14"/>
        <v>http://zfin.org/ZDB-GENE-040426-2648</v>
      </c>
      <c r="E910" s="1" t="s">
        <v>6493</v>
      </c>
      <c r="F910" s="3">
        <v>1.5960048764073399E-7</v>
      </c>
      <c r="G910" s="1">
        <v>-0.439908062696102</v>
      </c>
      <c r="H910" s="1">
        <v>0.54400000000000004</v>
      </c>
      <c r="I910" s="1">
        <v>0.65</v>
      </c>
      <c r="J910" s="1">
        <v>2</v>
      </c>
    </row>
    <row r="911" spans="1:10" x14ac:dyDescent="0.2">
      <c r="A911" s="1" t="s">
        <v>6492</v>
      </c>
      <c r="B911" s="1" t="s">
        <v>6491</v>
      </c>
      <c r="C911" s="1" t="s">
        <v>6490</v>
      </c>
      <c r="D911" s="2" t="str">
        <f t="shared" si="14"/>
        <v>http://zfin.org/ZDB-GENE-040625-140</v>
      </c>
      <c r="E911" s="1" t="s">
        <v>6489</v>
      </c>
      <c r="F911" s="1">
        <v>3.5994552121688798E-4</v>
      </c>
      <c r="G911" s="1">
        <v>-0.43987289605292801</v>
      </c>
      <c r="H911" s="1">
        <v>0.28100000000000003</v>
      </c>
      <c r="I911" s="1">
        <v>0.45</v>
      </c>
      <c r="J911" s="1">
        <v>2</v>
      </c>
    </row>
    <row r="912" spans="1:10" x14ac:dyDescent="0.2">
      <c r="A912" s="1" t="s">
        <v>6488</v>
      </c>
      <c r="B912" s="1" t="s">
        <v>6487</v>
      </c>
      <c r="C912" s="1" t="s">
        <v>6486</v>
      </c>
      <c r="D912" s="2" t="str">
        <f t="shared" si="14"/>
        <v>http://zfin.org/ZDB-GENE-100729-2</v>
      </c>
      <c r="E912" s="1" t="s">
        <v>6485</v>
      </c>
      <c r="F912" s="1">
        <v>4.8803491736378202E-3</v>
      </c>
      <c r="G912" s="1">
        <v>-0.43928257582291202</v>
      </c>
      <c r="H912" s="1">
        <v>0.20200000000000001</v>
      </c>
      <c r="I912" s="1">
        <v>0.317</v>
      </c>
      <c r="J912" s="1">
        <v>2</v>
      </c>
    </row>
    <row r="913" spans="1:10" x14ac:dyDescent="0.2">
      <c r="A913" s="1" t="s">
        <v>6484</v>
      </c>
      <c r="B913" s="1" t="s">
        <v>6483</v>
      </c>
      <c r="C913" s="1" t="s">
        <v>6482</v>
      </c>
      <c r="D913" s="2" t="str">
        <f t="shared" si="14"/>
        <v>http://zfin.org/ZDB-GENE-030131-3893</v>
      </c>
      <c r="E913" s="1" t="s">
        <v>6481</v>
      </c>
      <c r="F913" s="3">
        <v>4.3502508632078701E-7</v>
      </c>
      <c r="G913" s="1">
        <v>-0.43923022072006701</v>
      </c>
      <c r="H913" s="1">
        <v>0.114</v>
      </c>
      <c r="I913" s="1">
        <v>0.25</v>
      </c>
      <c r="J913" s="1">
        <v>2</v>
      </c>
    </row>
    <row r="914" spans="1:10" x14ac:dyDescent="0.2">
      <c r="A914" s="1" t="s">
        <v>6480</v>
      </c>
      <c r="B914" s="1" t="s">
        <v>6479</v>
      </c>
      <c r="C914" s="1" t="s">
        <v>6478</v>
      </c>
      <c r="D914" s="2" t="str">
        <f t="shared" si="14"/>
        <v>http://zfin.org/ZDB-GENE-040718-252</v>
      </c>
      <c r="E914" s="1" t="s">
        <v>6477</v>
      </c>
      <c r="F914" s="1">
        <v>8.4467556784233004E-3</v>
      </c>
      <c r="G914" s="1">
        <v>-0.43836410058316</v>
      </c>
      <c r="H914" s="1">
        <v>0.158</v>
      </c>
      <c r="I914" s="1">
        <v>0.33300000000000002</v>
      </c>
      <c r="J914" s="1">
        <v>2</v>
      </c>
    </row>
    <row r="915" spans="1:10" x14ac:dyDescent="0.2">
      <c r="A915" s="1" t="s">
        <v>6476</v>
      </c>
      <c r="B915" s="1" t="s">
        <v>6475</v>
      </c>
      <c r="C915" s="1" t="s">
        <v>6474</v>
      </c>
      <c r="D915" s="2" t="str">
        <f t="shared" si="14"/>
        <v>http://zfin.org/ZDB-GENE-070928-23</v>
      </c>
      <c r="E915" s="1" t="s">
        <v>6473</v>
      </c>
      <c r="F915" s="1">
        <v>3.0606008631571503E-4</v>
      </c>
      <c r="G915" s="1">
        <v>-0.43650141707815399</v>
      </c>
      <c r="H915" s="1">
        <v>0.89500000000000002</v>
      </c>
      <c r="I915" s="1">
        <v>0.9</v>
      </c>
      <c r="J915" s="1">
        <v>2</v>
      </c>
    </row>
    <row r="916" spans="1:10" x14ac:dyDescent="0.2">
      <c r="A916" s="1" t="s">
        <v>1594</v>
      </c>
      <c r="B916" s="1" t="s">
        <v>1593</v>
      </c>
      <c r="C916" s="1" t="s">
        <v>1592</v>
      </c>
      <c r="D916" s="2" t="str">
        <f t="shared" si="14"/>
        <v>http://zfin.org/ZDB-GENE-040625-104</v>
      </c>
      <c r="E916" s="1" t="s">
        <v>6472</v>
      </c>
      <c r="F916" s="3">
        <v>1.85792872635527E-6</v>
      </c>
      <c r="G916" s="1">
        <v>-0.43592784982141802</v>
      </c>
      <c r="H916" s="1">
        <v>0.29799999999999999</v>
      </c>
      <c r="I916" s="1">
        <v>0.5</v>
      </c>
      <c r="J916" s="1">
        <v>2</v>
      </c>
    </row>
    <row r="917" spans="1:10" x14ac:dyDescent="0.2">
      <c r="A917" s="1" t="s">
        <v>6471</v>
      </c>
      <c r="B917" s="1" t="s">
        <v>6470</v>
      </c>
      <c r="C917" s="1" t="s">
        <v>6469</v>
      </c>
      <c r="D917" s="2" t="str">
        <f t="shared" si="14"/>
        <v>http://zfin.org/ZDB-GENE-091207-2</v>
      </c>
      <c r="E917" s="1" t="s">
        <v>6468</v>
      </c>
      <c r="F917" s="3">
        <v>6.1099149033202997E-6</v>
      </c>
      <c r="G917" s="1">
        <v>-0.43559116438237999</v>
      </c>
      <c r="H917" s="1">
        <v>0.184</v>
      </c>
      <c r="I917" s="1">
        <v>0.41699999999999998</v>
      </c>
      <c r="J917" s="1">
        <v>2</v>
      </c>
    </row>
    <row r="918" spans="1:10" x14ac:dyDescent="0.2">
      <c r="A918" s="1" t="s">
        <v>62</v>
      </c>
      <c r="B918" s="1" t="s">
        <v>61</v>
      </c>
      <c r="C918" s="1" t="s">
        <v>63</v>
      </c>
      <c r="D918" s="2" t="str">
        <f t="shared" si="14"/>
        <v>http://zfin.org/ZDB-GENE-010726-1</v>
      </c>
      <c r="E918" s="1" t="s">
        <v>6467</v>
      </c>
      <c r="F918" s="3">
        <v>4.0546014215780704E-6</v>
      </c>
      <c r="G918" s="1">
        <v>-0.434797978968675</v>
      </c>
      <c r="H918" s="1">
        <v>0.67500000000000004</v>
      </c>
      <c r="I918" s="1">
        <v>0.6</v>
      </c>
      <c r="J918" s="1">
        <v>2</v>
      </c>
    </row>
    <row r="919" spans="1:10" x14ac:dyDescent="0.2">
      <c r="A919" s="1" t="s">
        <v>6466</v>
      </c>
      <c r="B919" s="1" t="s">
        <v>6465</v>
      </c>
      <c r="C919" s="1" t="s">
        <v>6464</v>
      </c>
      <c r="D919" s="2" t="str">
        <f t="shared" si="14"/>
        <v>http://zfin.org/ZDB-GENE-010201-1</v>
      </c>
      <c r="E919" s="1" t="s">
        <v>6463</v>
      </c>
      <c r="F919" s="1">
        <v>1.2269125041356199E-3</v>
      </c>
      <c r="G919" s="1">
        <v>-0.43391075540481999</v>
      </c>
      <c r="H919" s="1">
        <v>0.36</v>
      </c>
      <c r="I919" s="1">
        <v>0.55000000000000004</v>
      </c>
      <c r="J919" s="1">
        <v>2</v>
      </c>
    </row>
    <row r="920" spans="1:10" x14ac:dyDescent="0.2">
      <c r="A920" s="1" t="s">
        <v>6462</v>
      </c>
      <c r="B920" s="1" t="s">
        <v>6461</v>
      </c>
      <c r="C920" s="1" t="s">
        <v>6460</v>
      </c>
      <c r="D920" s="2" t="str">
        <f t="shared" si="14"/>
        <v>http://zfin.org/ZDB-GENE-060720-44</v>
      </c>
      <c r="E920" s="1" t="s">
        <v>6459</v>
      </c>
      <c r="F920" s="3">
        <v>1.9875819178901801E-5</v>
      </c>
      <c r="G920" s="1">
        <v>-0.43318211344271002</v>
      </c>
      <c r="H920" s="1">
        <v>1.7999999999999999E-2</v>
      </c>
      <c r="I920" s="1">
        <v>0.23300000000000001</v>
      </c>
      <c r="J920" s="1">
        <v>2</v>
      </c>
    </row>
    <row r="921" spans="1:10" x14ac:dyDescent="0.2">
      <c r="A921" s="1" t="s">
        <v>3600</v>
      </c>
      <c r="B921" s="1" t="s">
        <v>3599</v>
      </c>
      <c r="C921" s="1" t="s">
        <v>3598</v>
      </c>
      <c r="D921" s="2" t="str">
        <f t="shared" si="14"/>
        <v>http://zfin.org/ZDB-GENE-050506-118</v>
      </c>
      <c r="E921" s="1" t="s">
        <v>6458</v>
      </c>
      <c r="F921" s="1">
        <v>6.2691129556916004E-4</v>
      </c>
      <c r="G921" s="1">
        <v>-0.43313717778108701</v>
      </c>
      <c r="H921" s="1">
        <v>0.55300000000000005</v>
      </c>
      <c r="I921" s="1">
        <v>0.65</v>
      </c>
      <c r="J921" s="1">
        <v>2</v>
      </c>
    </row>
    <row r="922" spans="1:10" x14ac:dyDescent="0.2">
      <c r="A922" s="1" t="s">
        <v>1798</v>
      </c>
      <c r="B922" s="1" t="s">
        <v>1797</v>
      </c>
      <c r="C922" s="1" t="s">
        <v>1796</v>
      </c>
      <c r="D922" s="2" t="str">
        <f t="shared" si="14"/>
        <v>http://zfin.org/ZDB-GENE-051120-114</v>
      </c>
      <c r="E922" s="1" t="s">
        <v>6457</v>
      </c>
      <c r="F922" s="3">
        <v>4.8715698858327901E-6</v>
      </c>
      <c r="G922" s="1">
        <v>-0.43244320975011202</v>
      </c>
      <c r="H922" s="1">
        <v>0.28899999999999998</v>
      </c>
      <c r="I922" s="1">
        <v>0.433</v>
      </c>
      <c r="J922" s="1">
        <v>2</v>
      </c>
    </row>
    <row r="923" spans="1:10" x14ac:dyDescent="0.2">
      <c r="A923" s="1" t="s">
        <v>6456</v>
      </c>
      <c r="B923" s="1" t="s">
        <v>6455</v>
      </c>
      <c r="C923" s="1" t="s">
        <v>6454</v>
      </c>
      <c r="D923" s="2" t="str">
        <f t="shared" si="14"/>
        <v>http://zfin.org/ZDB-GENE-040426-810</v>
      </c>
      <c r="E923" s="1" t="s">
        <v>6453</v>
      </c>
      <c r="F923" s="3">
        <v>7.1837005429956796E-6</v>
      </c>
      <c r="G923" s="1">
        <v>-0.43172350008571297</v>
      </c>
      <c r="H923" s="1">
        <v>0.29799999999999999</v>
      </c>
      <c r="I923" s="1">
        <v>0.433</v>
      </c>
      <c r="J923" s="1">
        <v>2</v>
      </c>
    </row>
    <row r="924" spans="1:10" x14ac:dyDescent="0.2">
      <c r="A924" s="1" t="s">
        <v>6452</v>
      </c>
      <c r="B924" s="1" t="s">
        <v>6451</v>
      </c>
      <c r="C924" s="1" t="s">
        <v>6450</v>
      </c>
      <c r="D924" s="2" t="str">
        <f t="shared" si="14"/>
        <v>http://zfin.org/ZDB-GENE-980526-362</v>
      </c>
      <c r="E924" s="1" t="s">
        <v>6449</v>
      </c>
      <c r="F924" s="1">
        <v>2.1907028100036502E-3</v>
      </c>
      <c r="G924" s="1">
        <v>-0.43037160461678498</v>
      </c>
      <c r="H924" s="1">
        <v>0.46500000000000002</v>
      </c>
      <c r="I924" s="1">
        <v>0.7</v>
      </c>
      <c r="J924" s="1">
        <v>2</v>
      </c>
    </row>
    <row r="925" spans="1:10" x14ac:dyDescent="0.2">
      <c r="A925" s="1" t="s">
        <v>6448</v>
      </c>
      <c r="B925" s="1" t="s">
        <v>6447</v>
      </c>
      <c r="C925" s="1" t="s">
        <v>6446</v>
      </c>
      <c r="D925" s="2" t="str">
        <f t="shared" si="14"/>
        <v>http://zfin.org/ZDB-GENE-050208-72</v>
      </c>
      <c r="E925" s="1" t="s">
        <v>6445</v>
      </c>
      <c r="F925" s="1">
        <v>3.1963468076643201E-4</v>
      </c>
      <c r="G925" s="1">
        <v>-0.42951790126746098</v>
      </c>
      <c r="H925" s="1">
        <v>0.13200000000000001</v>
      </c>
      <c r="I925" s="1">
        <v>0.317</v>
      </c>
      <c r="J925" s="1">
        <v>2</v>
      </c>
    </row>
    <row r="926" spans="1:10" x14ac:dyDescent="0.2">
      <c r="A926" s="1" t="s">
        <v>1404</v>
      </c>
      <c r="B926" s="1" t="s">
        <v>1403</v>
      </c>
      <c r="C926" s="1" t="s">
        <v>1402</v>
      </c>
      <c r="D926" s="2" t="str">
        <f t="shared" si="14"/>
        <v>http://zfin.org/ZDB-GENE-000329-1</v>
      </c>
      <c r="E926" s="1" t="s">
        <v>6444</v>
      </c>
      <c r="F926" s="3">
        <v>3.8131679873618E-5</v>
      </c>
      <c r="G926" s="1">
        <v>-0.42905297513842999</v>
      </c>
      <c r="H926" s="1">
        <v>0.96499999999999997</v>
      </c>
      <c r="I926" s="1">
        <v>0.95</v>
      </c>
      <c r="J926" s="1">
        <v>2</v>
      </c>
    </row>
    <row r="927" spans="1:10" x14ac:dyDescent="0.2">
      <c r="A927" s="1" t="s">
        <v>6443</v>
      </c>
      <c r="B927" s="1" t="s">
        <v>6442</v>
      </c>
      <c r="C927" s="1" t="s">
        <v>6441</v>
      </c>
      <c r="D927" s="2" t="str">
        <f t="shared" si="14"/>
        <v>http://zfin.org/ZDB-GENE-030131-3273</v>
      </c>
      <c r="E927" s="1" t="s">
        <v>6440</v>
      </c>
      <c r="F927" s="1">
        <v>3.8750039828635298E-3</v>
      </c>
      <c r="G927" s="1">
        <v>-0.42874524306431999</v>
      </c>
      <c r="H927" s="1">
        <v>0.43</v>
      </c>
      <c r="I927" s="1">
        <v>0.55000000000000004</v>
      </c>
      <c r="J927" s="1">
        <v>2</v>
      </c>
    </row>
    <row r="928" spans="1:10" x14ac:dyDescent="0.2">
      <c r="A928" s="1" t="s">
        <v>6439</v>
      </c>
      <c r="B928" s="1" t="s">
        <v>6438</v>
      </c>
      <c r="C928" s="1" t="s">
        <v>6437</v>
      </c>
      <c r="D928" s="2" t="str">
        <f t="shared" si="14"/>
        <v>http://zfin.org/ZDB-GENE-050417-13</v>
      </c>
      <c r="E928" s="1" t="s">
        <v>6436</v>
      </c>
      <c r="F928" s="3">
        <v>5.31774694216266E-5</v>
      </c>
      <c r="G928" s="1">
        <v>-0.42868435584470499</v>
      </c>
      <c r="H928" s="1">
        <v>0.35099999999999998</v>
      </c>
      <c r="I928" s="1">
        <v>0.45</v>
      </c>
      <c r="J928" s="1">
        <v>2</v>
      </c>
    </row>
    <row r="929" spans="1:10" x14ac:dyDescent="0.2">
      <c r="A929" s="1" t="s">
        <v>6435</v>
      </c>
      <c r="B929" s="1" t="s">
        <v>6434</v>
      </c>
      <c r="C929" s="1" t="s">
        <v>6433</v>
      </c>
      <c r="D929" s="2" t="str">
        <f t="shared" si="14"/>
        <v>http://zfin.org/ZDB-GENE-050320-129</v>
      </c>
      <c r="E929" s="1" t="s">
        <v>6432</v>
      </c>
      <c r="F929" s="1">
        <v>1.9280537903453601E-4</v>
      </c>
      <c r="G929" s="1">
        <v>-0.42861457088794802</v>
      </c>
      <c r="H929" s="1">
        <v>0.39500000000000002</v>
      </c>
      <c r="I929" s="1">
        <v>0.58299999999999996</v>
      </c>
      <c r="J929" s="1">
        <v>2</v>
      </c>
    </row>
    <row r="930" spans="1:10" x14ac:dyDescent="0.2">
      <c r="A930" s="1" t="s">
        <v>6431</v>
      </c>
      <c r="B930" s="1" t="s">
        <v>6430</v>
      </c>
      <c r="C930" s="1" t="s">
        <v>6429</v>
      </c>
      <c r="D930" s="2" t="str">
        <f t="shared" si="14"/>
        <v>http://zfin.org/ZDB-GENE-030131-8480</v>
      </c>
      <c r="E930" s="1" t="s">
        <v>6428</v>
      </c>
      <c r="F930" s="3">
        <v>9.8988493868960598E-7</v>
      </c>
      <c r="G930" s="1">
        <v>-0.42838056098306798</v>
      </c>
      <c r="H930" s="1">
        <v>0.64</v>
      </c>
      <c r="I930" s="1">
        <v>0.58299999999999996</v>
      </c>
      <c r="J930" s="1">
        <v>2</v>
      </c>
    </row>
    <row r="931" spans="1:10" x14ac:dyDescent="0.2">
      <c r="A931" s="1" t="s">
        <v>6427</v>
      </c>
      <c r="B931" s="1" t="s">
        <v>6426</v>
      </c>
      <c r="C931" s="1" t="s">
        <v>6425</v>
      </c>
      <c r="D931" s="2" t="str">
        <f t="shared" si="14"/>
        <v>http://zfin.org/ZDB-GENE-011205-18</v>
      </c>
      <c r="E931" s="1" t="s">
        <v>6424</v>
      </c>
      <c r="F931" s="1">
        <v>2.2124649357574701E-4</v>
      </c>
      <c r="G931" s="1">
        <v>-0.427753090865296</v>
      </c>
      <c r="H931" s="1">
        <v>1</v>
      </c>
      <c r="I931" s="1">
        <v>1</v>
      </c>
      <c r="J931" s="1">
        <v>2</v>
      </c>
    </row>
    <row r="932" spans="1:10" x14ac:dyDescent="0.2">
      <c r="A932" s="1" t="s">
        <v>6423</v>
      </c>
      <c r="B932" s="1" t="s">
        <v>6422</v>
      </c>
      <c r="C932" s="1" t="s">
        <v>6421</v>
      </c>
      <c r="D932" s="2" t="str">
        <f t="shared" si="14"/>
        <v>http://zfin.org/ZDB-GENE-050706-143</v>
      </c>
      <c r="E932" s="1" t="s">
        <v>6420</v>
      </c>
      <c r="F932" s="1">
        <v>2.5063237925804298E-4</v>
      </c>
      <c r="G932" s="1">
        <v>-0.42672316673661198</v>
      </c>
      <c r="H932" s="1">
        <v>2.5999999999999999E-2</v>
      </c>
      <c r="I932" s="1">
        <v>0.2</v>
      </c>
      <c r="J932" s="1">
        <v>2</v>
      </c>
    </row>
    <row r="933" spans="1:10" x14ac:dyDescent="0.2">
      <c r="A933" s="1" t="s">
        <v>6419</v>
      </c>
      <c r="B933" s="1" t="s">
        <v>6418</v>
      </c>
      <c r="C933" s="1" t="s">
        <v>6417</v>
      </c>
      <c r="D933" s="2" t="str">
        <f t="shared" si="14"/>
        <v>http://zfin.org/ZDB-GENE-030815-1</v>
      </c>
      <c r="E933" s="1" t="s">
        <v>6416</v>
      </c>
      <c r="F933" s="3">
        <v>3.8143548710582299E-6</v>
      </c>
      <c r="G933" s="1">
        <v>-0.42661368053775101</v>
      </c>
      <c r="H933" s="1">
        <v>0.34200000000000003</v>
      </c>
      <c r="I933" s="1">
        <v>0.4</v>
      </c>
      <c r="J933" s="1">
        <v>2</v>
      </c>
    </row>
    <row r="934" spans="1:10" x14ac:dyDescent="0.2">
      <c r="A934" s="1" t="s">
        <v>2549</v>
      </c>
      <c r="B934" s="1" t="s">
        <v>2548</v>
      </c>
      <c r="C934" s="1" t="s">
        <v>2547</v>
      </c>
      <c r="D934" s="2" t="str">
        <f t="shared" si="14"/>
        <v>http://zfin.org/ZDB-GENE-030131-341</v>
      </c>
      <c r="E934" s="1" t="s">
        <v>6415</v>
      </c>
      <c r="F934" s="3">
        <v>5.3307938120785901E-7</v>
      </c>
      <c r="G934" s="1">
        <v>-0.42607522813927601</v>
      </c>
      <c r="H934" s="1">
        <v>0.90400000000000003</v>
      </c>
      <c r="I934" s="1">
        <v>0.78300000000000003</v>
      </c>
      <c r="J934" s="1">
        <v>2</v>
      </c>
    </row>
    <row r="935" spans="1:10" x14ac:dyDescent="0.2">
      <c r="A935" s="1" t="s">
        <v>6414</v>
      </c>
      <c r="B935" s="1" t="s">
        <v>6413</v>
      </c>
      <c r="C935" s="1" t="s">
        <v>6412</v>
      </c>
      <c r="D935" s="2" t="str">
        <f t="shared" si="14"/>
        <v>http://zfin.org/ZDB-GENE-041010-21</v>
      </c>
      <c r="E935" s="1" t="s">
        <v>6411</v>
      </c>
      <c r="F935" s="1">
        <v>2.6409250464362301E-4</v>
      </c>
      <c r="G935" s="1">
        <v>-0.42583600974497299</v>
      </c>
      <c r="H935" s="1">
        <v>0.123</v>
      </c>
      <c r="I935" s="1">
        <v>0.217</v>
      </c>
      <c r="J935" s="1">
        <v>2</v>
      </c>
    </row>
    <row r="936" spans="1:10" x14ac:dyDescent="0.2">
      <c r="A936" s="1" t="s">
        <v>6410</v>
      </c>
      <c r="B936" s="1" t="s">
        <v>6409</v>
      </c>
      <c r="C936" s="1" t="s">
        <v>6408</v>
      </c>
      <c r="D936" s="2" t="str">
        <f t="shared" si="14"/>
        <v>http://zfin.org/ZDB-GENE-040625-15</v>
      </c>
      <c r="E936" s="1" t="s">
        <v>6407</v>
      </c>
      <c r="F936" s="3">
        <v>3.4049798476299298E-6</v>
      </c>
      <c r="G936" s="1">
        <v>-0.42530122183679903</v>
      </c>
      <c r="H936" s="1">
        <v>0.246</v>
      </c>
      <c r="I936" s="1">
        <v>0.4</v>
      </c>
      <c r="J936" s="1">
        <v>2</v>
      </c>
    </row>
    <row r="937" spans="1:10" x14ac:dyDescent="0.2">
      <c r="A937" s="1" t="s">
        <v>6406</v>
      </c>
      <c r="B937" s="1" t="s">
        <v>6405</v>
      </c>
      <c r="C937" s="1" t="s">
        <v>6404</v>
      </c>
      <c r="D937" s="2" t="str">
        <f t="shared" si="14"/>
        <v>http://zfin.org/ZDB-GENE-081028-51</v>
      </c>
      <c r="E937" s="1" t="s">
        <v>6403</v>
      </c>
      <c r="F937" s="3">
        <v>3.4065313104545401E-6</v>
      </c>
      <c r="G937" s="1">
        <v>-0.425164564352918</v>
      </c>
      <c r="H937" s="1">
        <v>7.9000000000000001E-2</v>
      </c>
      <c r="I937" s="1">
        <v>0.28299999999999997</v>
      </c>
      <c r="J937" s="1">
        <v>2</v>
      </c>
    </row>
    <row r="938" spans="1:10" x14ac:dyDescent="0.2">
      <c r="A938" s="1" t="s">
        <v>6402</v>
      </c>
      <c r="B938" s="1" t="s">
        <v>6401</v>
      </c>
      <c r="C938" s="1" t="s">
        <v>6400</v>
      </c>
      <c r="D938" s="2" t="str">
        <f t="shared" si="14"/>
        <v>http://zfin.org/ZDB-GENE-030131-7459</v>
      </c>
      <c r="E938" s="1" t="s">
        <v>6399</v>
      </c>
      <c r="F938" s="3">
        <v>2.4254362949277199E-8</v>
      </c>
      <c r="G938" s="1">
        <v>-0.424712138166707</v>
      </c>
      <c r="H938" s="1">
        <v>0.99099999999999999</v>
      </c>
      <c r="I938" s="1">
        <v>0.98299999999999998</v>
      </c>
      <c r="J938" s="1">
        <v>2</v>
      </c>
    </row>
    <row r="939" spans="1:10" x14ac:dyDescent="0.2">
      <c r="A939" s="1" t="s">
        <v>6398</v>
      </c>
      <c r="B939" s="1" t="s">
        <v>6397</v>
      </c>
      <c r="C939" s="1" t="s">
        <v>6396</v>
      </c>
      <c r="D939" s="2" t="str">
        <f t="shared" si="14"/>
        <v>http://zfin.org/ZDB-GENE-030131-5045</v>
      </c>
      <c r="E939" s="1" t="s">
        <v>6395</v>
      </c>
      <c r="F939" s="3">
        <v>3.4375331812181102E-7</v>
      </c>
      <c r="G939" s="1">
        <v>-0.42436797325905801</v>
      </c>
      <c r="H939" s="1">
        <v>0.71099999999999997</v>
      </c>
      <c r="I939" s="1">
        <v>0.71699999999999997</v>
      </c>
      <c r="J939" s="1">
        <v>2</v>
      </c>
    </row>
    <row r="940" spans="1:10" x14ac:dyDescent="0.2">
      <c r="A940" s="1" t="s">
        <v>6394</v>
      </c>
      <c r="B940" s="1" t="s">
        <v>6393</v>
      </c>
      <c r="C940" s="1" t="s">
        <v>6392</v>
      </c>
      <c r="D940" s="2" t="str">
        <f t="shared" si="14"/>
        <v>http://zfin.org/ZDB-GENE-000510-1</v>
      </c>
      <c r="E940" s="1" t="s">
        <v>6391</v>
      </c>
      <c r="F940" s="3">
        <v>1.2572985274134701E-6</v>
      </c>
      <c r="G940" s="1">
        <v>-0.42398373861990502</v>
      </c>
      <c r="H940" s="1">
        <v>0.105</v>
      </c>
      <c r="I940" s="1">
        <v>0.3</v>
      </c>
      <c r="J940" s="1">
        <v>2</v>
      </c>
    </row>
    <row r="941" spans="1:10" x14ac:dyDescent="0.2">
      <c r="A941" s="1" t="s">
        <v>3103</v>
      </c>
      <c r="B941" s="1" t="s">
        <v>3102</v>
      </c>
      <c r="C941" s="1" t="s">
        <v>3101</v>
      </c>
      <c r="D941" s="2" t="str">
        <f t="shared" si="14"/>
        <v>http://zfin.org/ZDB-GENE-050522-388</v>
      </c>
      <c r="E941" s="1" t="s">
        <v>6390</v>
      </c>
      <c r="F941" s="1">
        <v>1.13369865780321E-4</v>
      </c>
      <c r="G941" s="1">
        <v>-0.42340448130654801</v>
      </c>
      <c r="H941" s="1">
        <v>0.105</v>
      </c>
      <c r="I941" s="1">
        <v>0.23300000000000001</v>
      </c>
      <c r="J941" s="1">
        <v>2</v>
      </c>
    </row>
    <row r="942" spans="1:10" x14ac:dyDescent="0.2">
      <c r="A942" s="1" t="s">
        <v>6389</v>
      </c>
      <c r="B942" s="1" t="s">
        <v>6388</v>
      </c>
      <c r="C942" s="1" t="s">
        <v>6387</v>
      </c>
      <c r="D942" s="2" t="str">
        <f t="shared" si="14"/>
        <v>http://zfin.org/ZDB-GENE-021217-1</v>
      </c>
      <c r="E942" s="1" t="s">
        <v>6386</v>
      </c>
      <c r="F942" s="3">
        <v>7.6833232229965402E-5</v>
      </c>
      <c r="G942" s="1">
        <v>-0.423229716117211</v>
      </c>
      <c r="H942" s="1">
        <v>9.6000000000000002E-2</v>
      </c>
      <c r="I942" s="1">
        <v>0.317</v>
      </c>
      <c r="J942" s="1">
        <v>2</v>
      </c>
    </row>
    <row r="943" spans="1:10" x14ac:dyDescent="0.2">
      <c r="A943" s="1" t="s">
        <v>6385</v>
      </c>
      <c r="B943" s="1" t="s">
        <v>6384</v>
      </c>
      <c r="C943" s="1" t="s">
        <v>6383</v>
      </c>
      <c r="D943" s="2" t="str">
        <f t="shared" si="14"/>
        <v>http://zfin.org/ZDB-GENE-030828-12</v>
      </c>
      <c r="E943" s="1" t="s">
        <v>6382</v>
      </c>
      <c r="F943" s="1">
        <v>3.0963454824672898E-4</v>
      </c>
      <c r="G943" s="1">
        <v>-0.42314146826645899</v>
      </c>
      <c r="H943" s="1">
        <v>0.307</v>
      </c>
      <c r="I943" s="1">
        <v>0.5</v>
      </c>
      <c r="J943" s="1">
        <v>2</v>
      </c>
    </row>
    <row r="944" spans="1:10" x14ac:dyDescent="0.2">
      <c r="A944" s="1" t="s">
        <v>6381</v>
      </c>
      <c r="B944" s="1" t="s">
        <v>6380</v>
      </c>
      <c r="C944" s="1" t="s">
        <v>6379</v>
      </c>
      <c r="D944" s="2" t="str">
        <f t="shared" si="14"/>
        <v>http://zfin.org/ZDB-GENE-041014-359</v>
      </c>
      <c r="E944" s="1" t="s">
        <v>6378</v>
      </c>
      <c r="F944" s="3">
        <v>6.5167774419141696E-5</v>
      </c>
      <c r="G944" s="1">
        <v>-0.42290825427414203</v>
      </c>
      <c r="H944" s="1">
        <v>0.13200000000000001</v>
      </c>
      <c r="I944" s="1">
        <v>0.317</v>
      </c>
      <c r="J944" s="1">
        <v>2</v>
      </c>
    </row>
    <row r="945" spans="1:10" x14ac:dyDescent="0.2">
      <c r="A945" s="1" t="s">
        <v>6377</v>
      </c>
      <c r="B945" s="1" t="s">
        <v>6376</v>
      </c>
      <c r="C945" s="1" t="s">
        <v>6375</v>
      </c>
      <c r="D945" s="2" t="str">
        <f t="shared" si="14"/>
        <v>http://zfin.org/ZDB-GENE-020318-2</v>
      </c>
      <c r="E945" s="1" t="s">
        <v>6374</v>
      </c>
      <c r="F945" s="3">
        <v>2.3735479388089899E-5</v>
      </c>
      <c r="G945" s="1">
        <v>-0.42276688724815897</v>
      </c>
      <c r="H945" s="1">
        <v>0.59599999999999997</v>
      </c>
      <c r="I945" s="1">
        <v>0.65</v>
      </c>
      <c r="J945" s="1">
        <v>2</v>
      </c>
    </row>
    <row r="946" spans="1:10" x14ac:dyDescent="0.2">
      <c r="A946" s="1" t="s">
        <v>6373</v>
      </c>
      <c r="B946" s="1" t="s">
        <v>6372</v>
      </c>
      <c r="C946" s="1" t="s">
        <v>6371</v>
      </c>
      <c r="D946" s="2" t="str">
        <f t="shared" si="14"/>
        <v>http://zfin.org/ZDB-GENE-020424-2</v>
      </c>
      <c r="E946" s="1" t="s">
        <v>6370</v>
      </c>
      <c r="F946" s="3">
        <v>2.5499969883953001E-5</v>
      </c>
      <c r="G946" s="1">
        <v>-0.422625917709058</v>
      </c>
      <c r="H946" s="1">
        <v>7.0000000000000007E-2</v>
      </c>
      <c r="I946" s="1">
        <v>0.26700000000000002</v>
      </c>
      <c r="J946" s="1">
        <v>2</v>
      </c>
    </row>
    <row r="947" spans="1:10" x14ac:dyDescent="0.2">
      <c r="A947" s="1" t="s">
        <v>6369</v>
      </c>
      <c r="B947" s="1" t="s">
        <v>6368</v>
      </c>
      <c r="C947" s="1" t="s">
        <v>6367</v>
      </c>
      <c r="D947" s="2" t="str">
        <f t="shared" si="14"/>
        <v>http://zfin.org/ZDB-GENE-040426-2159</v>
      </c>
      <c r="E947" s="1" t="s">
        <v>6366</v>
      </c>
      <c r="F947" s="1">
        <v>1.0324204538945301E-3</v>
      </c>
      <c r="G947" s="1">
        <v>-0.42159608091385797</v>
      </c>
      <c r="H947" s="1">
        <v>0.20200000000000001</v>
      </c>
      <c r="I947" s="1">
        <v>0.35</v>
      </c>
      <c r="J947" s="1">
        <v>2</v>
      </c>
    </row>
    <row r="948" spans="1:10" x14ac:dyDescent="0.2">
      <c r="A948" s="1" t="s">
        <v>3309</v>
      </c>
      <c r="B948" s="1" t="s">
        <v>3308</v>
      </c>
      <c r="C948" s="1" t="s">
        <v>3307</v>
      </c>
      <c r="D948" s="2" t="str">
        <f t="shared" si="14"/>
        <v>http://zfin.org/ZDB-GENE-030131-2711</v>
      </c>
      <c r="E948" s="1" t="s">
        <v>6365</v>
      </c>
      <c r="F948" s="3">
        <v>4.7428460880499902E-5</v>
      </c>
      <c r="G948" s="1">
        <v>-0.42131290941008198</v>
      </c>
      <c r="H948" s="1">
        <v>0.13200000000000001</v>
      </c>
      <c r="I948" s="1">
        <v>0.433</v>
      </c>
      <c r="J948" s="1">
        <v>2</v>
      </c>
    </row>
    <row r="949" spans="1:10" x14ac:dyDescent="0.2">
      <c r="A949" s="1" t="s">
        <v>6364</v>
      </c>
      <c r="B949" s="1" t="s">
        <v>6363</v>
      </c>
      <c r="C949" s="1" t="s">
        <v>6362</v>
      </c>
      <c r="D949" s="2" t="str">
        <f t="shared" si="14"/>
        <v>http://zfin.org/ZDB-GENE-031114-2</v>
      </c>
      <c r="E949" s="1" t="s">
        <v>6361</v>
      </c>
      <c r="F949" s="1">
        <v>4.3297847618798898E-4</v>
      </c>
      <c r="G949" s="1">
        <v>-0.420379934960593</v>
      </c>
      <c r="H949" s="1">
        <v>2.5999999999999999E-2</v>
      </c>
      <c r="I949" s="1">
        <v>0.15</v>
      </c>
      <c r="J949" s="1">
        <v>2</v>
      </c>
    </row>
    <row r="950" spans="1:10" x14ac:dyDescent="0.2">
      <c r="A950" s="1" t="s">
        <v>6360</v>
      </c>
      <c r="B950" s="1" t="s">
        <v>6359</v>
      </c>
      <c r="C950" s="1" t="s">
        <v>6358</v>
      </c>
      <c r="D950" s="2" t="str">
        <f t="shared" si="14"/>
        <v>http://zfin.org/ZDB-GENE-040426-1923</v>
      </c>
      <c r="E950" s="1" t="s">
        <v>6357</v>
      </c>
      <c r="F950" s="3">
        <v>1.0857070314792199E-6</v>
      </c>
      <c r="G950" s="1">
        <v>-0.41971843987943502</v>
      </c>
      <c r="H950" s="1">
        <v>0.307</v>
      </c>
      <c r="I950" s="1">
        <v>0.4</v>
      </c>
      <c r="J950" s="1">
        <v>2</v>
      </c>
    </row>
    <row r="951" spans="1:10" x14ac:dyDescent="0.2">
      <c r="A951" s="1" t="s">
        <v>6356</v>
      </c>
      <c r="B951" s="1" t="s">
        <v>6355</v>
      </c>
      <c r="C951" s="1" t="s">
        <v>6354</v>
      </c>
      <c r="D951" s="2" t="str">
        <f t="shared" si="14"/>
        <v>http://zfin.org/ZDB-GENE-050417-110</v>
      </c>
      <c r="E951" s="1" t="s">
        <v>6353</v>
      </c>
      <c r="F951" s="3">
        <v>4.8467880333908698E-5</v>
      </c>
      <c r="G951" s="1">
        <v>-0.41966045872083801</v>
      </c>
      <c r="H951" s="1">
        <v>0.17499999999999999</v>
      </c>
      <c r="I951" s="1">
        <v>0.35</v>
      </c>
      <c r="J951" s="1">
        <v>2</v>
      </c>
    </row>
    <row r="952" spans="1:10" x14ac:dyDescent="0.2">
      <c r="A952" s="1" t="s">
        <v>6352</v>
      </c>
      <c r="B952" s="1" t="s">
        <v>6351</v>
      </c>
      <c r="C952" s="1" t="s">
        <v>6350</v>
      </c>
      <c r="D952" s="2" t="str">
        <f t="shared" si="14"/>
        <v>http://zfin.org/ZDB-GENE-011003-1</v>
      </c>
      <c r="E952" s="1" t="s">
        <v>6349</v>
      </c>
      <c r="F952" s="3">
        <v>3.3282900509468803E-5</v>
      </c>
      <c r="G952" s="1">
        <v>-0.41964174020671502</v>
      </c>
      <c r="H952" s="1">
        <v>0.14000000000000001</v>
      </c>
      <c r="I952" s="1">
        <v>0.38300000000000001</v>
      </c>
      <c r="J952" s="1">
        <v>2</v>
      </c>
    </row>
    <row r="953" spans="1:10" x14ac:dyDescent="0.2">
      <c r="A953" s="1" t="s">
        <v>229</v>
      </c>
      <c r="B953" s="1" t="s">
        <v>228</v>
      </c>
      <c r="C953" s="1" t="s">
        <v>230</v>
      </c>
      <c r="D953" s="2" t="str">
        <f t="shared" si="14"/>
        <v>http://zfin.org/ZDB-GENE-031018-2</v>
      </c>
      <c r="E953" s="1" t="s">
        <v>6348</v>
      </c>
      <c r="F953" s="3">
        <v>3.1133990977781E-9</v>
      </c>
      <c r="G953" s="1">
        <v>-0.41859299775071401</v>
      </c>
      <c r="H953" s="1">
        <v>1</v>
      </c>
      <c r="I953" s="1">
        <v>1</v>
      </c>
      <c r="J953" s="1">
        <v>2</v>
      </c>
    </row>
    <row r="954" spans="1:10" x14ac:dyDescent="0.2">
      <c r="A954" s="1" t="s">
        <v>1308</v>
      </c>
      <c r="B954" s="1" t="s">
        <v>1307</v>
      </c>
      <c r="C954" s="1" t="s">
        <v>1306</v>
      </c>
      <c r="D954" s="2" t="str">
        <f t="shared" si="14"/>
        <v>http://zfin.org/ZDB-GENE-040801-218</v>
      </c>
      <c r="E954" s="1" t="s">
        <v>6347</v>
      </c>
      <c r="F954" s="3">
        <v>7.1648632970566802E-7</v>
      </c>
      <c r="G954" s="1">
        <v>-0.41763775255906099</v>
      </c>
      <c r="H954" s="1">
        <v>0.92100000000000004</v>
      </c>
      <c r="I954" s="1">
        <v>0.9</v>
      </c>
      <c r="J954" s="1">
        <v>2</v>
      </c>
    </row>
    <row r="955" spans="1:10" x14ac:dyDescent="0.2">
      <c r="A955" s="1" t="s">
        <v>6346</v>
      </c>
      <c r="B955" s="1" t="s">
        <v>6345</v>
      </c>
      <c r="C955" s="1" t="s">
        <v>6344</v>
      </c>
      <c r="D955" s="2" t="str">
        <f t="shared" si="14"/>
        <v>http://zfin.org/ZDB-GENE-040715-6</v>
      </c>
      <c r="E955" s="1" t="s">
        <v>6343</v>
      </c>
      <c r="F955" s="3">
        <v>9.581820826260501E-7</v>
      </c>
      <c r="G955" s="1">
        <v>-0.417290401012679</v>
      </c>
      <c r="H955" s="1">
        <v>0.23699999999999999</v>
      </c>
      <c r="I955" s="1">
        <v>0.36699999999999999</v>
      </c>
      <c r="J955" s="1">
        <v>2</v>
      </c>
    </row>
    <row r="956" spans="1:10" x14ac:dyDescent="0.2">
      <c r="A956" s="1" t="s">
        <v>6342</v>
      </c>
      <c r="B956" s="1" t="s">
        <v>6341</v>
      </c>
      <c r="C956" s="1" t="s">
        <v>6340</v>
      </c>
      <c r="D956" s="2" t="str">
        <f t="shared" si="14"/>
        <v>http://zfin.org/ZDB-GENE-030131-3251</v>
      </c>
      <c r="E956" s="1" t="s">
        <v>6339</v>
      </c>
      <c r="F956" s="1">
        <v>1.0025429835995099E-3</v>
      </c>
      <c r="G956" s="1">
        <v>-0.41700031964582901</v>
      </c>
      <c r="H956" s="1">
        <v>0.193</v>
      </c>
      <c r="I956" s="1">
        <v>0.45</v>
      </c>
      <c r="J956" s="1">
        <v>2</v>
      </c>
    </row>
    <row r="957" spans="1:10" x14ac:dyDescent="0.2">
      <c r="A957" s="1" t="s">
        <v>6338</v>
      </c>
      <c r="B957" s="1" t="s">
        <v>6337</v>
      </c>
      <c r="C957" s="1" t="s">
        <v>6336</v>
      </c>
      <c r="D957" s="2" t="str">
        <f t="shared" si="14"/>
        <v>http://zfin.org/ZDB-GENE-040426-2096</v>
      </c>
      <c r="E957" s="1" t="s">
        <v>6335</v>
      </c>
      <c r="F957" s="1">
        <v>2.5471701167207803E-4</v>
      </c>
      <c r="G957" s="1">
        <v>-0.41605131431363601</v>
      </c>
      <c r="H957" s="1">
        <v>2.5999999999999999E-2</v>
      </c>
      <c r="I957" s="1">
        <v>0.23300000000000001</v>
      </c>
      <c r="J957" s="1">
        <v>2</v>
      </c>
    </row>
    <row r="958" spans="1:10" x14ac:dyDescent="0.2">
      <c r="A958" s="1" t="s">
        <v>6334</v>
      </c>
      <c r="B958" s="1" t="s">
        <v>6333</v>
      </c>
      <c r="D958" s="2" t="str">
        <f t="shared" si="14"/>
        <v>http://zfin.org/</v>
      </c>
      <c r="E958" s="1" t="s">
        <v>4625</v>
      </c>
      <c r="F958" s="1">
        <v>6.2589650267175197E-3</v>
      </c>
      <c r="G958" s="1">
        <v>-0.415444877505453</v>
      </c>
      <c r="H958" s="1">
        <v>0.316</v>
      </c>
      <c r="I958" s="1">
        <v>0.48299999999999998</v>
      </c>
      <c r="J958" s="1">
        <v>2</v>
      </c>
    </row>
    <row r="959" spans="1:10" x14ac:dyDescent="0.2">
      <c r="A959" s="1" t="s">
        <v>6332</v>
      </c>
      <c r="B959" s="1" t="s">
        <v>6331</v>
      </c>
      <c r="C959" s="1" t="s">
        <v>6330</v>
      </c>
      <c r="D959" s="2" t="str">
        <f t="shared" si="14"/>
        <v>http://zfin.org/ZDB-GENE-040625-21</v>
      </c>
      <c r="E959" s="1" t="s">
        <v>6329</v>
      </c>
      <c r="F959" s="3">
        <v>3.8520372382414703E-5</v>
      </c>
      <c r="G959" s="1">
        <v>-0.41514704139444603</v>
      </c>
      <c r="H959" s="1">
        <v>6.0999999999999999E-2</v>
      </c>
      <c r="I959" s="1">
        <v>0.2</v>
      </c>
      <c r="J959" s="1">
        <v>2</v>
      </c>
    </row>
    <row r="960" spans="1:10" x14ac:dyDescent="0.2">
      <c r="A960" s="1" t="s">
        <v>6328</v>
      </c>
      <c r="B960" s="1" t="s">
        <v>6327</v>
      </c>
      <c r="C960" s="1" t="s">
        <v>6326</v>
      </c>
      <c r="D960" s="2" t="str">
        <f t="shared" si="14"/>
        <v>http://zfin.org/ZDB-GENE-030131-9810</v>
      </c>
      <c r="E960" s="1" t="s">
        <v>6325</v>
      </c>
      <c r="F960" s="3">
        <v>2.0262208502654598E-5</v>
      </c>
      <c r="G960" s="1">
        <v>-0.41385552924344998</v>
      </c>
      <c r="H960" s="1">
        <v>0.45600000000000002</v>
      </c>
      <c r="I960" s="1">
        <v>0.55000000000000004</v>
      </c>
      <c r="J960" s="1">
        <v>2</v>
      </c>
    </row>
    <row r="961" spans="1:10" x14ac:dyDescent="0.2">
      <c r="A961" s="1" t="s">
        <v>2681</v>
      </c>
      <c r="B961" s="1" t="s">
        <v>2680</v>
      </c>
      <c r="C961" s="1" t="s">
        <v>2679</v>
      </c>
      <c r="D961" s="2" t="str">
        <f t="shared" si="14"/>
        <v>http://zfin.org/ZDB-GENE-030131-2220</v>
      </c>
      <c r="E961" s="1" t="s">
        <v>6324</v>
      </c>
      <c r="F961" s="1">
        <v>3.8150043550672601E-4</v>
      </c>
      <c r="G961" s="1">
        <v>-0.41345482542053402</v>
      </c>
      <c r="H961" s="1">
        <v>0.246</v>
      </c>
      <c r="I961" s="1">
        <v>0.33300000000000002</v>
      </c>
      <c r="J961" s="1">
        <v>2</v>
      </c>
    </row>
    <row r="962" spans="1:10" x14ac:dyDescent="0.2">
      <c r="A962" s="1" t="s">
        <v>6323</v>
      </c>
      <c r="B962" s="1" t="s">
        <v>6322</v>
      </c>
      <c r="C962" s="1" t="s">
        <v>6321</v>
      </c>
      <c r="D962" s="2" t="str">
        <f t="shared" ref="D962:D1025" si="15">HYPERLINK(E962)</f>
        <v>http://zfin.org/ZDB-GENE-040718-311</v>
      </c>
      <c r="E962" s="1" t="s">
        <v>6320</v>
      </c>
      <c r="F962" s="1">
        <v>1.6770385990162799E-4</v>
      </c>
      <c r="G962" s="1">
        <v>-0.41344828464072603</v>
      </c>
      <c r="H962" s="1">
        <v>0.123</v>
      </c>
      <c r="I962" s="1">
        <v>0.36699999999999999</v>
      </c>
      <c r="J962" s="1">
        <v>2</v>
      </c>
    </row>
    <row r="963" spans="1:10" x14ac:dyDescent="0.2">
      <c r="A963" s="1" t="s">
        <v>6319</v>
      </c>
      <c r="B963" s="1" t="s">
        <v>6318</v>
      </c>
      <c r="C963" s="1" t="s">
        <v>6317</v>
      </c>
      <c r="D963" s="2" t="str">
        <f t="shared" si="15"/>
        <v>http://zfin.org/ZDB-GENE-020419-31</v>
      </c>
      <c r="E963" s="1" t="s">
        <v>6316</v>
      </c>
      <c r="F963" s="1">
        <v>3.71965604944617E-4</v>
      </c>
      <c r="G963" s="1">
        <v>-0.41210003036489401</v>
      </c>
      <c r="H963" s="1">
        <v>0.21099999999999999</v>
      </c>
      <c r="I963" s="1">
        <v>0.35</v>
      </c>
      <c r="J963" s="1">
        <v>2</v>
      </c>
    </row>
    <row r="964" spans="1:10" x14ac:dyDescent="0.2">
      <c r="A964" s="1" t="s">
        <v>6315</v>
      </c>
      <c r="B964" s="1" t="s">
        <v>6314</v>
      </c>
      <c r="C964" s="1" t="s">
        <v>6313</v>
      </c>
      <c r="D964" s="2" t="str">
        <f t="shared" si="15"/>
        <v>http://zfin.org/ZDB-GENE-030131-591</v>
      </c>
      <c r="E964" s="1" t="s">
        <v>6312</v>
      </c>
      <c r="F964" s="1">
        <v>2.4980080260762301E-3</v>
      </c>
      <c r="G964" s="1">
        <v>-0.41195255365862998</v>
      </c>
      <c r="H964" s="1">
        <v>0.22800000000000001</v>
      </c>
      <c r="I964" s="1">
        <v>0.45</v>
      </c>
      <c r="J964" s="1">
        <v>2</v>
      </c>
    </row>
    <row r="965" spans="1:10" x14ac:dyDescent="0.2">
      <c r="A965" s="1" t="s">
        <v>6311</v>
      </c>
      <c r="B965" s="1" t="s">
        <v>6310</v>
      </c>
      <c r="C965" s="1" t="s">
        <v>6309</v>
      </c>
      <c r="D965" s="2" t="str">
        <f t="shared" si="15"/>
        <v>http://zfin.org/ZDB-GENE-990603-10</v>
      </c>
      <c r="E965" s="1" t="s">
        <v>6308</v>
      </c>
      <c r="F965" s="3">
        <v>9.5975641009808595E-7</v>
      </c>
      <c r="G965" s="1">
        <v>-0.41080477733069998</v>
      </c>
      <c r="H965" s="1">
        <v>0.97399999999999998</v>
      </c>
      <c r="I965" s="1">
        <v>0.95</v>
      </c>
      <c r="J965" s="1">
        <v>2</v>
      </c>
    </row>
    <row r="966" spans="1:10" x14ac:dyDescent="0.2">
      <c r="A966" s="1" t="s">
        <v>6307</v>
      </c>
      <c r="B966" s="1" t="s">
        <v>6306</v>
      </c>
      <c r="C966" s="1" t="s">
        <v>6305</v>
      </c>
      <c r="D966" s="2" t="str">
        <f t="shared" si="15"/>
        <v>http://zfin.org/ZDB-GENE-030131-3606</v>
      </c>
      <c r="E966" s="1" t="s">
        <v>6304</v>
      </c>
      <c r="F966" s="1">
        <v>9.2089957861229595E-3</v>
      </c>
      <c r="G966" s="1">
        <v>-0.41059912951275701</v>
      </c>
      <c r="H966" s="1">
        <v>0.193</v>
      </c>
      <c r="I966" s="1">
        <v>0.36699999999999999</v>
      </c>
      <c r="J966" s="1">
        <v>2</v>
      </c>
    </row>
    <row r="967" spans="1:10" x14ac:dyDescent="0.2">
      <c r="A967" s="1" t="s">
        <v>6303</v>
      </c>
      <c r="B967" s="1" t="s">
        <v>6302</v>
      </c>
      <c r="C967" s="1" t="s">
        <v>6301</v>
      </c>
      <c r="D967" s="2" t="str">
        <f t="shared" si="15"/>
        <v>http://zfin.org/ZDB-GENE-040718-450</v>
      </c>
      <c r="E967" s="1" t="s">
        <v>6300</v>
      </c>
      <c r="F967" s="3">
        <v>2.1848058994847899E-8</v>
      </c>
      <c r="G967" s="1">
        <v>-0.40970262713064898</v>
      </c>
      <c r="H967" s="1">
        <v>0.27200000000000002</v>
      </c>
      <c r="I967" s="1">
        <v>0.41699999999999998</v>
      </c>
      <c r="J967" s="1">
        <v>2</v>
      </c>
    </row>
    <row r="968" spans="1:10" x14ac:dyDescent="0.2">
      <c r="A968" s="1" t="s">
        <v>6299</v>
      </c>
      <c r="B968" s="1" t="s">
        <v>6298</v>
      </c>
      <c r="C968" s="1" t="s">
        <v>6297</v>
      </c>
      <c r="D968" s="2" t="str">
        <f t="shared" si="15"/>
        <v>http://zfin.org/ZDB-GENE-050417-344</v>
      </c>
      <c r="E968" s="1" t="s">
        <v>6296</v>
      </c>
      <c r="F968" s="3">
        <v>6.1963829964140096E-6</v>
      </c>
      <c r="G968" s="1">
        <v>-0.40960523867875698</v>
      </c>
      <c r="H968" s="1">
        <v>0.36</v>
      </c>
      <c r="I968" s="1">
        <v>0.5</v>
      </c>
      <c r="J968" s="1">
        <v>2</v>
      </c>
    </row>
    <row r="969" spans="1:10" x14ac:dyDescent="0.2">
      <c r="A969" s="1" t="s">
        <v>6295</v>
      </c>
      <c r="B969" s="1" t="s">
        <v>6294</v>
      </c>
      <c r="C969" s="1" t="s">
        <v>6293</v>
      </c>
      <c r="D969" s="2" t="str">
        <f t="shared" si="15"/>
        <v>http://zfin.org/ZDB-GENE-070928-1</v>
      </c>
      <c r="E969" s="1" t="s">
        <v>6292</v>
      </c>
      <c r="F969" s="3">
        <v>5.2392655840315801E-5</v>
      </c>
      <c r="G969" s="1">
        <v>-0.40947901267111397</v>
      </c>
      <c r="H969" s="1">
        <v>0.28899999999999998</v>
      </c>
      <c r="I969" s="1">
        <v>0.41699999999999998</v>
      </c>
      <c r="J969" s="1">
        <v>2</v>
      </c>
    </row>
    <row r="970" spans="1:10" x14ac:dyDescent="0.2">
      <c r="A970" s="1" t="s">
        <v>6291</v>
      </c>
      <c r="B970" s="1" t="s">
        <v>6290</v>
      </c>
      <c r="C970" s="1" t="s">
        <v>6289</v>
      </c>
      <c r="D970" s="2" t="str">
        <f t="shared" si="15"/>
        <v>http://zfin.org/ZDB-GENE-040426-1811</v>
      </c>
      <c r="E970" s="1" t="s">
        <v>6288</v>
      </c>
      <c r="F970" s="1">
        <v>4.5061548288530496E-3</v>
      </c>
      <c r="G970" s="1">
        <v>-0.40917498019913801</v>
      </c>
      <c r="H970" s="1">
        <v>0.13200000000000001</v>
      </c>
      <c r="I970" s="1">
        <v>0.317</v>
      </c>
      <c r="J970" s="1">
        <v>2</v>
      </c>
    </row>
    <row r="971" spans="1:10" x14ac:dyDescent="0.2">
      <c r="A971" s="1" t="s">
        <v>3525</v>
      </c>
      <c r="B971" s="1" t="s">
        <v>3524</v>
      </c>
      <c r="C971" s="1" t="s">
        <v>3523</v>
      </c>
      <c r="D971" s="2" t="str">
        <f t="shared" si="15"/>
        <v>http://zfin.org/ZDB-GENE-040426-2797</v>
      </c>
      <c r="E971" s="1" t="s">
        <v>6287</v>
      </c>
      <c r="F971" s="3">
        <v>1.24656487939953E-6</v>
      </c>
      <c r="G971" s="1">
        <v>-0.40827005770330499</v>
      </c>
      <c r="H971" s="1">
        <v>0.40400000000000003</v>
      </c>
      <c r="I971" s="1">
        <v>0.48299999999999998</v>
      </c>
      <c r="J971" s="1">
        <v>2</v>
      </c>
    </row>
    <row r="972" spans="1:10" x14ac:dyDescent="0.2">
      <c r="A972" s="1" t="s">
        <v>6286</v>
      </c>
      <c r="B972" s="1" t="s">
        <v>6285</v>
      </c>
      <c r="C972" s="1" t="s">
        <v>6284</v>
      </c>
      <c r="D972" s="2" t="str">
        <f t="shared" si="15"/>
        <v>http://zfin.org/ZDB-GENE-030131-2433</v>
      </c>
      <c r="E972" s="1" t="s">
        <v>6283</v>
      </c>
      <c r="F972" s="1">
        <v>3.3377528161210101E-4</v>
      </c>
      <c r="G972" s="1">
        <v>-0.40716509129700501</v>
      </c>
      <c r="H972" s="1">
        <v>0.184</v>
      </c>
      <c r="I972" s="1">
        <v>0.25</v>
      </c>
      <c r="J972" s="1">
        <v>2</v>
      </c>
    </row>
    <row r="973" spans="1:10" x14ac:dyDescent="0.2">
      <c r="A973" s="1" t="s">
        <v>6282</v>
      </c>
      <c r="B973" s="1" t="s">
        <v>6281</v>
      </c>
      <c r="C973" s="1" t="s">
        <v>6280</v>
      </c>
      <c r="D973" s="2" t="str">
        <f t="shared" si="15"/>
        <v>http://zfin.org/ZDB-GENE-031002-10</v>
      </c>
      <c r="E973" s="1" t="s">
        <v>6279</v>
      </c>
      <c r="F973" s="3">
        <v>1.8220000397339302E-5</v>
      </c>
      <c r="G973" s="1">
        <v>-0.406596751821099</v>
      </c>
      <c r="H973" s="1">
        <v>2.5999999999999999E-2</v>
      </c>
      <c r="I973" s="1">
        <v>0.217</v>
      </c>
      <c r="J973" s="1">
        <v>2</v>
      </c>
    </row>
    <row r="974" spans="1:10" x14ac:dyDescent="0.2">
      <c r="A974" s="1" t="s">
        <v>6278</v>
      </c>
      <c r="B974" s="1" t="s">
        <v>6277</v>
      </c>
      <c r="C974" s="1" t="s">
        <v>6276</v>
      </c>
      <c r="D974" s="2" t="str">
        <f t="shared" si="15"/>
        <v>http://zfin.org/ZDB-GENE-030131-8485</v>
      </c>
      <c r="E974" s="1" t="s">
        <v>6275</v>
      </c>
      <c r="F974" s="1">
        <v>5.9835395106829403E-4</v>
      </c>
      <c r="G974" s="1">
        <v>-0.40623008541602201</v>
      </c>
      <c r="H974" s="1">
        <v>0.14000000000000001</v>
      </c>
      <c r="I974" s="1">
        <v>0.35</v>
      </c>
      <c r="J974" s="1">
        <v>2</v>
      </c>
    </row>
    <row r="975" spans="1:10" x14ac:dyDescent="0.2">
      <c r="A975" s="1" t="s">
        <v>6274</v>
      </c>
      <c r="B975" s="1" t="s">
        <v>6273</v>
      </c>
      <c r="C975" s="1" t="s">
        <v>6272</v>
      </c>
      <c r="D975" s="2" t="str">
        <f t="shared" si="15"/>
        <v>http://zfin.org/ZDB-GENE-000616-10</v>
      </c>
      <c r="E975" s="1" t="s">
        <v>6271</v>
      </c>
      <c r="F975" s="3">
        <v>1.86164833046918E-7</v>
      </c>
      <c r="G975" s="1">
        <v>-0.40580045742897097</v>
      </c>
      <c r="H975" s="1">
        <v>0.64900000000000002</v>
      </c>
      <c r="I975" s="1">
        <v>0.63300000000000001</v>
      </c>
      <c r="J975" s="1">
        <v>2</v>
      </c>
    </row>
    <row r="976" spans="1:10" x14ac:dyDescent="0.2">
      <c r="A976" s="1" t="s">
        <v>6270</v>
      </c>
      <c r="B976" s="1" t="s">
        <v>3852</v>
      </c>
      <c r="C976" s="1" t="s">
        <v>6269</v>
      </c>
      <c r="D976" s="2" t="str">
        <f t="shared" si="15"/>
        <v>http://zfin.org/ZDB-GENE-030616-631</v>
      </c>
      <c r="E976" s="1" t="s">
        <v>6268</v>
      </c>
      <c r="F976" s="1">
        <v>2.0606830665674601E-3</v>
      </c>
      <c r="G976" s="1">
        <v>-0.40553465595377802</v>
      </c>
      <c r="H976" s="1">
        <v>0.26300000000000001</v>
      </c>
      <c r="I976" s="1">
        <v>0.48299999999999998</v>
      </c>
      <c r="J976" s="1">
        <v>2</v>
      </c>
    </row>
    <row r="977" spans="1:10" x14ac:dyDescent="0.2">
      <c r="A977" s="1" t="s">
        <v>6267</v>
      </c>
      <c r="B977" s="1" t="s">
        <v>6266</v>
      </c>
      <c r="C977" s="1" t="s">
        <v>6265</v>
      </c>
      <c r="D977" s="2" t="str">
        <f t="shared" si="15"/>
        <v>http://zfin.org/ZDB-GENE-060825-216</v>
      </c>
      <c r="E977" s="1" t="s">
        <v>6264</v>
      </c>
      <c r="F977" s="3">
        <v>4.1227660423386404E-6</v>
      </c>
      <c r="G977" s="1">
        <v>-0.40535125126766602</v>
      </c>
      <c r="H977" s="1">
        <v>0.14000000000000001</v>
      </c>
      <c r="I977" s="1">
        <v>0.28299999999999997</v>
      </c>
      <c r="J977" s="1">
        <v>2</v>
      </c>
    </row>
    <row r="978" spans="1:10" x14ac:dyDescent="0.2">
      <c r="A978" s="1" t="s">
        <v>6263</v>
      </c>
      <c r="B978" s="1" t="s">
        <v>6262</v>
      </c>
      <c r="C978" s="1" t="s">
        <v>6261</v>
      </c>
      <c r="D978" s="2" t="str">
        <f t="shared" si="15"/>
        <v>http://zfin.org/ZDB-GENE-980526-104</v>
      </c>
      <c r="E978" s="1" t="s">
        <v>6260</v>
      </c>
      <c r="F978" s="3">
        <v>6.5808084417661694E-5</v>
      </c>
      <c r="G978" s="1">
        <v>-0.404705169769705</v>
      </c>
      <c r="H978" s="1">
        <v>2.5999999999999999E-2</v>
      </c>
      <c r="I978" s="1">
        <v>0.183</v>
      </c>
      <c r="J978" s="1">
        <v>2</v>
      </c>
    </row>
    <row r="979" spans="1:10" x14ac:dyDescent="0.2">
      <c r="A979" s="1" t="s">
        <v>2875</v>
      </c>
      <c r="B979" s="1" t="s">
        <v>2874</v>
      </c>
      <c r="C979" s="1" t="s">
        <v>2873</v>
      </c>
      <c r="D979" s="2" t="str">
        <f t="shared" si="15"/>
        <v>http://zfin.org/ZDB-GENE-040426-2379</v>
      </c>
      <c r="E979" s="1" t="s">
        <v>6259</v>
      </c>
      <c r="F979" s="3">
        <v>2.5195499792783701E-6</v>
      </c>
      <c r="G979" s="1">
        <v>-0.404390733049313</v>
      </c>
      <c r="H979" s="1">
        <v>0.53500000000000003</v>
      </c>
      <c r="I979" s="1">
        <v>0.61699999999999999</v>
      </c>
      <c r="J979" s="1">
        <v>2</v>
      </c>
    </row>
    <row r="980" spans="1:10" x14ac:dyDescent="0.2">
      <c r="A980" s="1" t="s">
        <v>6258</v>
      </c>
      <c r="B980" s="1" t="s">
        <v>6257</v>
      </c>
      <c r="C980" s="1" t="s">
        <v>6256</v>
      </c>
      <c r="D980" s="2" t="str">
        <f t="shared" si="15"/>
        <v>http://zfin.org/ZDB-GENE-030408-5</v>
      </c>
      <c r="E980" s="1" t="s">
        <v>6255</v>
      </c>
      <c r="F980" s="3">
        <v>1.03540980182523E-9</v>
      </c>
      <c r="G980" s="1">
        <v>-0.40432880798397203</v>
      </c>
      <c r="H980" s="1">
        <v>0.39500000000000002</v>
      </c>
      <c r="I980" s="1">
        <v>0.46700000000000003</v>
      </c>
      <c r="J980" s="1">
        <v>2</v>
      </c>
    </row>
    <row r="981" spans="1:10" x14ac:dyDescent="0.2">
      <c r="A981" s="1" t="s">
        <v>2248</v>
      </c>
      <c r="B981" s="1" t="s">
        <v>6254</v>
      </c>
      <c r="D981" s="2" t="str">
        <f t="shared" si="15"/>
        <v>http://zfin.org/</v>
      </c>
      <c r="E981" s="1" t="s">
        <v>4625</v>
      </c>
      <c r="F981" s="1">
        <v>1.58013245599103E-3</v>
      </c>
      <c r="G981" s="1">
        <v>-0.40393146924877499</v>
      </c>
      <c r="H981" s="1">
        <v>1.7999999999999999E-2</v>
      </c>
      <c r="I981" s="1">
        <v>0.15</v>
      </c>
      <c r="J981" s="1">
        <v>2</v>
      </c>
    </row>
    <row r="982" spans="1:10" x14ac:dyDescent="0.2">
      <c r="A982" s="1" t="s">
        <v>6253</v>
      </c>
      <c r="B982" s="1" t="s">
        <v>6252</v>
      </c>
      <c r="C982" s="1" t="s">
        <v>6251</v>
      </c>
      <c r="D982" s="2" t="str">
        <f t="shared" si="15"/>
        <v>http://zfin.org/ZDB-GENE-040808-19</v>
      </c>
      <c r="E982" s="1" t="s">
        <v>6250</v>
      </c>
      <c r="F982" s="1">
        <v>1.11426439079369E-4</v>
      </c>
      <c r="G982" s="1">
        <v>-0.40366478591123001</v>
      </c>
      <c r="H982" s="1">
        <v>0.56100000000000005</v>
      </c>
      <c r="I982" s="1">
        <v>0.65</v>
      </c>
      <c r="J982" s="1">
        <v>2</v>
      </c>
    </row>
    <row r="983" spans="1:10" x14ac:dyDescent="0.2">
      <c r="A983" s="1" t="s">
        <v>6249</v>
      </c>
      <c r="B983" s="1" t="s">
        <v>6248</v>
      </c>
      <c r="C983" s="1" t="s">
        <v>6247</v>
      </c>
      <c r="D983" s="2" t="str">
        <f t="shared" si="15"/>
        <v>http://zfin.org/ZDB-GENE-030904-6</v>
      </c>
      <c r="E983" s="1" t="s">
        <v>6246</v>
      </c>
      <c r="F983" s="3">
        <v>6.6881080421088299E-6</v>
      </c>
      <c r="G983" s="1">
        <v>-0.40333338110914602</v>
      </c>
      <c r="H983" s="1">
        <v>0.34200000000000003</v>
      </c>
      <c r="I983" s="1">
        <v>0.48299999999999998</v>
      </c>
      <c r="J983" s="1">
        <v>2</v>
      </c>
    </row>
    <row r="984" spans="1:10" x14ac:dyDescent="0.2">
      <c r="A984" s="1" t="s">
        <v>6245</v>
      </c>
      <c r="B984" s="1" t="s">
        <v>6244</v>
      </c>
      <c r="C984" s="1" t="s">
        <v>6243</v>
      </c>
      <c r="D984" s="2" t="str">
        <f t="shared" si="15"/>
        <v>http://zfin.org/ZDB-GENE-070912-332</v>
      </c>
      <c r="E984" s="1" t="s">
        <v>6242</v>
      </c>
      <c r="F984" s="1">
        <v>2.5338919288288501E-3</v>
      </c>
      <c r="G984" s="1">
        <v>-0.401953561987268</v>
      </c>
      <c r="H984" s="1">
        <v>0.17499999999999999</v>
      </c>
      <c r="I984" s="1">
        <v>0.28299999999999997</v>
      </c>
      <c r="J984" s="1">
        <v>2</v>
      </c>
    </row>
    <row r="985" spans="1:10" x14ac:dyDescent="0.2">
      <c r="A985" s="1" t="s">
        <v>6241</v>
      </c>
      <c r="B985" s="1" t="s">
        <v>6240</v>
      </c>
      <c r="C985" s="1" t="s">
        <v>6239</v>
      </c>
      <c r="D985" s="2" t="str">
        <f t="shared" si="15"/>
        <v>http://zfin.org/ZDB-GENE-071004-41</v>
      </c>
      <c r="E985" s="1" t="s">
        <v>6238</v>
      </c>
      <c r="F985" s="1">
        <v>1.12836543277204E-4</v>
      </c>
      <c r="G985" s="1">
        <v>-0.401546156340153</v>
      </c>
      <c r="H985" s="1">
        <v>4.3999999999999997E-2</v>
      </c>
      <c r="I985" s="1">
        <v>0.16700000000000001</v>
      </c>
      <c r="J985" s="1">
        <v>2</v>
      </c>
    </row>
    <row r="986" spans="1:10" x14ac:dyDescent="0.2">
      <c r="A986" s="1" t="s">
        <v>6237</v>
      </c>
      <c r="B986" s="1" t="s">
        <v>6236</v>
      </c>
      <c r="C986" s="1" t="s">
        <v>6235</v>
      </c>
      <c r="D986" s="2" t="str">
        <f t="shared" si="15"/>
        <v>http://zfin.org/ZDB-GENE-030131-5162</v>
      </c>
      <c r="E986" s="1" t="s">
        <v>6234</v>
      </c>
      <c r="F986" s="1">
        <v>3.4890536488423101E-4</v>
      </c>
      <c r="G986" s="1">
        <v>-0.40094286592084</v>
      </c>
      <c r="H986" s="1">
        <v>0.78100000000000003</v>
      </c>
      <c r="I986" s="1">
        <v>0.83299999999999996</v>
      </c>
      <c r="J986" s="1">
        <v>2</v>
      </c>
    </row>
    <row r="987" spans="1:10" x14ac:dyDescent="0.2">
      <c r="A987" s="1" t="s">
        <v>6233</v>
      </c>
      <c r="B987" s="1" t="s">
        <v>6232</v>
      </c>
      <c r="C987" s="1" t="s">
        <v>6231</v>
      </c>
      <c r="D987" s="2" t="str">
        <f t="shared" si="15"/>
        <v>http://zfin.org/ZDB-GENE-030131-1500</v>
      </c>
      <c r="E987" s="1" t="s">
        <v>6230</v>
      </c>
      <c r="F987" s="3">
        <v>9.4681302584992805E-6</v>
      </c>
      <c r="G987" s="1">
        <v>-0.40086391522569298</v>
      </c>
      <c r="H987" s="1">
        <v>6.0999999999999999E-2</v>
      </c>
      <c r="I987" s="1">
        <v>0.2</v>
      </c>
      <c r="J987" s="1">
        <v>2</v>
      </c>
    </row>
    <row r="988" spans="1:10" x14ac:dyDescent="0.2">
      <c r="A988" s="1" t="s">
        <v>6229</v>
      </c>
      <c r="B988" s="1" t="s">
        <v>6228</v>
      </c>
      <c r="C988" s="1" t="s">
        <v>6227</v>
      </c>
      <c r="D988" s="2" t="str">
        <f t="shared" si="15"/>
        <v>http://zfin.org/ZDB-GENE-030131-9174</v>
      </c>
      <c r="E988" s="1" t="s">
        <v>6226</v>
      </c>
      <c r="F988" s="3">
        <v>1.73617159912485E-5</v>
      </c>
      <c r="G988" s="1">
        <v>-0.400316532821405</v>
      </c>
      <c r="H988" s="1">
        <v>9.6000000000000002E-2</v>
      </c>
      <c r="I988" s="1">
        <v>0.28299999999999997</v>
      </c>
      <c r="J988" s="1">
        <v>2</v>
      </c>
    </row>
    <row r="989" spans="1:10" x14ac:dyDescent="0.2">
      <c r="A989" s="1" t="s">
        <v>6225</v>
      </c>
      <c r="B989" s="1" t="s">
        <v>6224</v>
      </c>
      <c r="C989" s="1" t="s">
        <v>6223</v>
      </c>
      <c r="D989" s="2" t="str">
        <f t="shared" si="15"/>
        <v>http://zfin.org/ZDB-GENE-030710-1</v>
      </c>
      <c r="E989" s="1" t="s">
        <v>6222</v>
      </c>
      <c r="F989" s="3">
        <v>1.6349740423928599E-6</v>
      </c>
      <c r="G989" s="1">
        <v>-0.39996999481313</v>
      </c>
      <c r="H989" s="1">
        <v>0.49099999999999999</v>
      </c>
      <c r="I989" s="1">
        <v>0.6</v>
      </c>
      <c r="J989" s="1">
        <v>2</v>
      </c>
    </row>
    <row r="990" spans="1:10" x14ac:dyDescent="0.2">
      <c r="A990" s="1" t="s">
        <v>6221</v>
      </c>
      <c r="B990" s="1" t="s">
        <v>6220</v>
      </c>
      <c r="C990" s="1" t="s">
        <v>6219</v>
      </c>
      <c r="D990" s="2" t="str">
        <f t="shared" si="15"/>
        <v>http://zfin.org/ZDB-GENE-040426-2665</v>
      </c>
      <c r="E990" s="1" t="s">
        <v>6218</v>
      </c>
      <c r="F990" s="1">
        <v>2.7598427795666198E-3</v>
      </c>
      <c r="G990" s="1">
        <v>-0.39959364808564901</v>
      </c>
      <c r="H990" s="1">
        <v>0.23699999999999999</v>
      </c>
      <c r="I990" s="1">
        <v>0.46700000000000003</v>
      </c>
      <c r="J990" s="1">
        <v>2</v>
      </c>
    </row>
    <row r="991" spans="1:10" x14ac:dyDescent="0.2">
      <c r="A991" s="1" t="s">
        <v>6217</v>
      </c>
      <c r="B991" s="1" t="s">
        <v>6216</v>
      </c>
      <c r="C991" s="1" t="s">
        <v>6215</v>
      </c>
      <c r="D991" s="2" t="str">
        <f t="shared" si="15"/>
        <v>http://zfin.org/ZDB-GENE-070912-481</v>
      </c>
      <c r="E991" s="1" t="s">
        <v>6214</v>
      </c>
      <c r="F991" s="3">
        <v>6.2545079783312205E-5</v>
      </c>
      <c r="G991" s="1">
        <v>-0.39889544507407998</v>
      </c>
      <c r="H991" s="1">
        <v>8.9999999999999993E-3</v>
      </c>
      <c r="I991" s="1">
        <v>0.217</v>
      </c>
      <c r="J991" s="1">
        <v>2</v>
      </c>
    </row>
    <row r="992" spans="1:10" x14ac:dyDescent="0.2">
      <c r="A992" s="1" t="s">
        <v>6213</v>
      </c>
      <c r="B992" s="1" t="s">
        <v>6212</v>
      </c>
      <c r="C992" s="1" t="s">
        <v>6211</v>
      </c>
      <c r="D992" s="2" t="str">
        <f t="shared" si="15"/>
        <v>http://zfin.org/ZDB-GENE-050208-20</v>
      </c>
      <c r="E992" s="1" t="s">
        <v>6210</v>
      </c>
      <c r="F992" s="1">
        <v>1.0960759444254499E-3</v>
      </c>
      <c r="G992" s="1">
        <v>-0.39855311949865901</v>
      </c>
      <c r="H992" s="1">
        <v>0.34200000000000003</v>
      </c>
      <c r="I992" s="1">
        <v>0.46700000000000003</v>
      </c>
      <c r="J992" s="1">
        <v>2</v>
      </c>
    </row>
    <row r="993" spans="1:10" x14ac:dyDescent="0.2">
      <c r="A993" s="1" t="s">
        <v>6209</v>
      </c>
      <c r="B993" s="1" t="s">
        <v>6208</v>
      </c>
      <c r="C993" s="1" t="s">
        <v>6207</v>
      </c>
      <c r="D993" s="2" t="str">
        <f t="shared" si="15"/>
        <v>http://zfin.org/ZDB-GENE-040426-764</v>
      </c>
      <c r="E993" s="1" t="s">
        <v>6206</v>
      </c>
      <c r="F993" s="1">
        <v>1.23127984130803E-3</v>
      </c>
      <c r="G993" s="1">
        <v>-0.39840736323786602</v>
      </c>
      <c r="H993" s="1">
        <v>5.2999999999999999E-2</v>
      </c>
      <c r="I993" s="1">
        <v>0.23300000000000001</v>
      </c>
      <c r="J993" s="1">
        <v>2</v>
      </c>
    </row>
    <row r="994" spans="1:10" x14ac:dyDescent="0.2">
      <c r="A994" s="1" t="s">
        <v>6205</v>
      </c>
      <c r="B994" s="1" t="s">
        <v>6204</v>
      </c>
      <c r="C994" s="1" t="s">
        <v>6203</v>
      </c>
      <c r="D994" s="2" t="str">
        <f t="shared" si="15"/>
        <v>http://zfin.org/ZDB-GENE-010328-19</v>
      </c>
      <c r="E994" s="1" t="s">
        <v>6202</v>
      </c>
      <c r="F994" s="3">
        <v>2.06243513924948E-6</v>
      </c>
      <c r="G994" s="1">
        <v>-0.397822542025281</v>
      </c>
      <c r="H994" s="1">
        <v>0.36</v>
      </c>
      <c r="I994" s="1">
        <v>0.5</v>
      </c>
      <c r="J994" s="1">
        <v>2</v>
      </c>
    </row>
    <row r="995" spans="1:10" x14ac:dyDescent="0.2">
      <c r="A995" s="1" t="s">
        <v>6201</v>
      </c>
      <c r="B995" s="1" t="s">
        <v>6200</v>
      </c>
      <c r="C995" s="1" t="s">
        <v>6199</v>
      </c>
      <c r="D995" s="2" t="str">
        <f t="shared" si="15"/>
        <v>http://zfin.org/ZDB-GENE-030616-419</v>
      </c>
      <c r="E995" s="1" t="s">
        <v>6198</v>
      </c>
      <c r="F995" s="3">
        <v>5.1161155031312E-5</v>
      </c>
      <c r="G995" s="1">
        <v>-0.396205912124446</v>
      </c>
      <c r="H995" s="1">
        <v>0.46500000000000002</v>
      </c>
      <c r="I995" s="1">
        <v>0.5</v>
      </c>
      <c r="J995" s="1">
        <v>2</v>
      </c>
    </row>
    <row r="996" spans="1:10" x14ac:dyDescent="0.2">
      <c r="A996" s="1" t="s">
        <v>1179</v>
      </c>
      <c r="B996" s="1" t="s">
        <v>1178</v>
      </c>
      <c r="C996" s="1" t="s">
        <v>1177</v>
      </c>
      <c r="D996" s="2" t="str">
        <f t="shared" si="15"/>
        <v>http://zfin.org/ZDB-GENE-040426-1877</v>
      </c>
      <c r="E996" s="1" t="s">
        <v>6197</v>
      </c>
      <c r="F996" s="1">
        <v>1.32573866715388E-4</v>
      </c>
      <c r="G996" s="1">
        <v>-0.39575461457677003</v>
      </c>
      <c r="H996" s="1">
        <v>0.184</v>
      </c>
      <c r="I996" s="1">
        <v>0.25</v>
      </c>
      <c r="J996" s="1">
        <v>2</v>
      </c>
    </row>
    <row r="997" spans="1:10" x14ac:dyDescent="0.2">
      <c r="A997" s="1" t="s">
        <v>6196</v>
      </c>
      <c r="B997" s="1" t="s">
        <v>6195</v>
      </c>
      <c r="C997" s="1" t="s">
        <v>6194</v>
      </c>
      <c r="D997" s="2" t="str">
        <f t="shared" si="15"/>
        <v>http://zfin.org/ZDB-GENE-031030-1</v>
      </c>
      <c r="E997" s="1" t="s">
        <v>6193</v>
      </c>
      <c r="F997" s="3">
        <v>7.7057567375250292E-6</v>
      </c>
      <c r="G997" s="1">
        <v>-0.395715573373705</v>
      </c>
      <c r="H997" s="1">
        <v>0.48199999999999998</v>
      </c>
      <c r="I997" s="1">
        <v>0.55000000000000004</v>
      </c>
      <c r="J997" s="1">
        <v>2</v>
      </c>
    </row>
    <row r="998" spans="1:10" x14ac:dyDescent="0.2">
      <c r="A998" s="1" t="s">
        <v>6192</v>
      </c>
      <c r="B998" s="1" t="s">
        <v>6191</v>
      </c>
      <c r="C998" s="1" t="s">
        <v>6190</v>
      </c>
      <c r="D998" s="2" t="str">
        <f t="shared" si="15"/>
        <v>http://zfin.org/ZDB-GENE-030131-8811</v>
      </c>
      <c r="E998" s="1" t="s">
        <v>6189</v>
      </c>
      <c r="F998" s="1">
        <v>5.8911307992295398E-3</v>
      </c>
      <c r="G998" s="1">
        <v>-0.39561769192938701</v>
      </c>
      <c r="H998" s="1">
        <v>0.28899999999999998</v>
      </c>
      <c r="I998" s="1">
        <v>0.45</v>
      </c>
      <c r="J998" s="1">
        <v>2</v>
      </c>
    </row>
    <row r="999" spans="1:10" x14ac:dyDescent="0.2">
      <c r="A999" s="1" t="s">
        <v>6188</v>
      </c>
      <c r="B999" s="1" t="s">
        <v>6187</v>
      </c>
      <c r="C999" s="1" t="s">
        <v>6186</v>
      </c>
      <c r="D999" s="2" t="str">
        <f t="shared" si="15"/>
        <v>http://zfin.org/ZDB-GENE-030131-683</v>
      </c>
      <c r="E999" s="1" t="s">
        <v>6185</v>
      </c>
      <c r="F999" s="1">
        <v>1.3566718606956799E-3</v>
      </c>
      <c r="G999" s="1">
        <v>-0.39559439530474699</v>
      </c>
      <c r="H999" s="1">
        <v>6.0999999999999999E-2</v>
      </c>
      <c r="I999" s="1">
        <v>0.217</v>
      </c>
      <c r="J999" s="1">
        <v>2</v>
      </c>
    </row>
    <row r="1000" spans="1:10" x14ac:dyDescent="0.2">
      <c r="A1000" s="1" t="s">
        <v>6184</v>
      </c>
      <c r="B1000" s="1" t="s">
        <v>6183</v>
      </c>
      <c r="C1000" s="1" t="s">
        <v>6182</v>
      </c>
      <c r="D1000" s="2" t="str">
        <f t="shared" si="15"/>
        <v>http://zfin.org/ZDB-GENE-070424-16</v>
      </c>
      <c r="E1000" s="1" t="s">
        <v>6181</v>
      </c>
      <c r="F1000" s="1">
        <v>1.7894228794792299E-4</v>
      </c>
      <c r="G1000" s="1">
        <v>-0.39541726580325998</v>
      </c>
      <c r="H1000" s="1">
        <v>0.14000000000000001</v>
      </c>
      <c r="I1000" s="1">
        <v>0.3</v>
      </c>
      <c r="J1000" s="1">
        <v>2</v>
      </c>
    </row>
    <row r="1001" spans="1:10" x14ac:dyDescent="0.2">
      <c r="A1001" s="1" t="s">
        <v>6180</v>
      </c>
      <c r="B1001" s="1" t="s">
        <v>6179</v>
      </c>
      <c r="D1001" s="2" t="str">
        <f t="shared" si="15"/>
        <v>http://zfin.org/</v>
      </c>
      <c r="E1001" s="1" t="s">
        <v>4625</v>
      </c>
      <c r="F1001" s="1">
        <v>3.1163107289253899E-4</v>
      </c>
      <c r="G1001" s="1">
        <v>-0.39386730722646002</v>
      </c>
      <c r="H1001" s="1">
        <v>0.114</v>
      </c>
      <c r="I1001" s="1">
        <v>0.3</v>
      </c>
      <c r="J1001" s="1">
        <v>2</v>
      </c>
    </row>
    <row r="1002" spans="1:10" x14ac:dyDescent="0.2">
      <c r="A1002" s="1" t="s">
        <v>2197</v>
      </c>
      <c r="B1002" s="1" t="s">
        <v>2196</v>
      </c>
      <c r="C1002" s="1" t="s">
        <v>2195</v>
      </c>
      <c r="D1002" s="2" t="str">
        <f t="shared" si="15"/>
        <v>http://zfin.org/ZDB-GENE-020419-27</v>
      </c>
      <c r="E1002" s="1" t="s">
        <v>6178</v>
      </c>
      <c r="F1002" s="1">
        <v>1.0681246094957301E-2</v>
      </c>
      <c r="G1002" s="1">
        <v>-0.39344877765620601</v>
      </c>
      <c r="H1002" s="1">
        <v>6.0999999999999999E-2</v>
      </c>
      <c r="I1002" s="1">
        <v>0.16700000000000001</v>
      </c>
      <c r="J1002" s="1">
        <v>2</v>
      </c>
    </row>
    <row r="1003" spans="1:10" x14ac:dyDescent="0.2">
      <c r="A1003" s="1" t="s">
        <v>6177</v>
      </c>
      <c r="B1003" s="1" t="s">
        <v>6176</v>
      </c>
      <c r="C1003" s="1" t="s">
        <v>6175</v>
      </c>
      <c r="D1003" s="2" t="str">
        <f t="shared" si="15"/>
        <v>http://zfin.org/ZDB-GENE-030822-1</v>
      </c>
      <c r="E1003" s="1" t="s">
        <v>6174</v>
      </c>
      <c r="F1003" s="1">
        <v>1.3091056032152901E-4</v>
      </c>
      <c r="G1003" s="1">
        <v>-0.39312657286147001</v>
      </c>
      <c r="H1003" s="1">
        <v>0.123</v>
      </c>
      <c r="I1003" s="1">
        <v>0.28299999999999997</v>
      </c>
      <c r="J1003" s="1">
        <v>2</v>
      </c>
    </row>
    <row r="1004" spans="1:10" x14ac:dyDescent="0.2">
      <c r="A1004" s="1" t="s">
        <v>6173</v>
      </c>
      <c r="B1004" s="1" t="s">
        <v>6172</v>
      </c>
      <c r="C1004" s="1" t="s">
        <v>6171</v>
      </c>
      <c r="D1004" s="2" t="str">
        <f t="shared" si="15"/>
        <v>http://zfin.org/ZDB-GENE-040724-121</v>
      </c>
      <c r="E1004" s="1" t="s">
        <v>6170</v>
      </c>
      <c r="F1004" s="1">
        <v>1.3547014998076601E-4</v>
      </c>
      <c r="G1004" s="1">
        <v>-0.39297646000736502</v>
      </c>
      <c r="H1004" s="1">
        <v>2.5999999999999999E-2</v>
      </c>
      <c r="I1004" s="1">
        <v>0.16700000000000001</v>
      </c>
      <c r="J1004" s="1">
        <v>2</v>
      </c>
    </row>
    <row r="1005" spans="1:10" x14ac:dyDescent="0.2">
      <c r="A1005" s="1" t="s">
        <v>6169</v>
      </c>
      <c r="B1005" s="1" t="s">
        <v>6168</v>
      </c>
      <c r="C1005" s="1" t="s">
        <v>6167</v>
      </c>
      <c r="D1005" s="2" t="str">
        <f t="shared" si="15"/>
        <v>http://zfin.org/ZDB-GENE-110713-1</v>
      </c>
      <c r="E1005" s="1" t="s">
        <v>6166</v>
      </c>
      <c r="F1005" s="1">
        <v>1.90315685892333E-2</v>
      </c>
      <c r="G1005" s="1">
        <v>-0.392515281004366</v>
      </c>
      <c r="H1005" s="1">
        <v>4.3999999999999997E-2</v>
      </c>
      <c r="I1005" s="1">
        <v>0.15</v>
      </c>
      <c r="J1005" s="1">
        <v>2</v>
      </c>
    </row>
    <row r="1006" spans="1:10" x14ac:dyDescent="0.2">
      <c r="A1006" s="1" t="s">
        <v>3949</v>
      </c>
      <c r="B1006" s="1" t="s">
        <v>3948</v>
      </c>
      <c r="C1006" s="1" t="s">
        <v>3947</v>
      </c>
      <c r="D1006" s="2" t="str">
        <f t="shared" si="15"/>
        <v>http://zfin.org/ZDB-GENE-050626-97</v>
      </c>
      <c r="E1006" s="1" t="s">
        <v>6165</v>
      </c>
      <c r="F1006" s="1">
        <v>6.6843013845819498E-3</v>
      </c>
      <c r="G1006" s="1">
        <v>-0.391924010359811</v>
      </c>
      <c r="H1006" s="1">
        <v>0.184</v>
      </c>
      <c r="I1006" s="1">
        <v>0.35</v>
      </c>
      <c r="J1006" s="1">
        <v>2</v>
      </c>
    </row>
    <row r="1007" spans="1:10" x14ac:dyDescent="0.2">
      <c r="A1007" s="1" t="s">
        <v>6164</v>
      </c>
      <c r="B1007" s="1" t="s">
        <v>6163</v>
      </c>
      <c r="C1007" s="1" t="s">
        <v>6162</v>
      </c>
      <c r="D1007" s="2" t="str">
        <f t="shared" si="15"/>
        <v>http://zfin.org/ZDB-GENE-030411-4</v>
      </c>
      <c r="E1007" s="1" t="s">
        <v>6161</v>
      </c>
      <c r="F1007" s="1">
        <v>9.9548572755425095E-4</v>
      </c>
      <c r="G1007" s="1">
        <v>-0.39175748286221401</v>
      </c>
      <c r="H1007" s="1">
        <v>0.307</v>
      </c>
      <c r="I1007" s="1">
        <v>0.45</v>
      </c>
      <c r="J1007" s="1">
        <v>2</v>
      </c>
    </row>
    <row r="1008" spans="1:10" x14ac:dyDescent="0.2">
      <c r="A1008" s="1" t="s">
        <v>6160</v>
      </c>
      <c r="B1008" s="1" t="s">
        <v>6159</v>
      </c>
      <c r="C1008" s="1" t="s">
        <v>6158</v>
      </c>
      <c r="D1008" s="2" t="str">
        <f t="shared" si="15"/>
        <v>http://zfin.org/ZDB-GENE-040624-5</v>
      </c>
      <c r="E1008" s="1" t="s">
        <v>6157</v>
      </c>
      <c r="F1008" s="1">
        <v>4.7366049739455398E-3</v>
      </c>
      <c r="G1008" s="1">
        <v>-0.391262987828432</v>
      </c>
      <c r="H1008" s="1">
        <v>6.0999999999999999E-2</v>
      </c>
      <c r="I1008" s="1">
        <v>0.23300000000000001</v>
      </c>
      <c r="J1008" s="1">
        <v>2</v>
      </c>
    </row>
    <row r="1009" spans="1:10" x14ac:dyDescent="0.2">
      <c r="A1009" s="1" t="s">
        <v>6156</v>
      </c>
      <c r="B1009" s="1" t="s">
        <v>6155</v>
      </c>
      <c r="C1009" s="1" t="s">
        <v>6154</v>
      </c>
      <c r="D1009" s="2" t="str">
        <f t="shared" si="15"/>
        <v>http://zfin.org/ZDB-GENE-030729-30</v>
      </c>
      <c r="E1009" s="1" t="s">
        <v>6153</v>
      </c>
      <c r="F1009" s="1">
        <v>1.2815475699401E-3</v>
      </c>
      <c r="G1009" s="1">
        <v>-0.39098761459963699</v>
      </c>
      <c r="H1009" s="1">
        <v>0.42099999999999999</v>
      </c>
      <c r="I1009" s="1">
        <v>0.56699999999999995</v>
      </c>
      <c r="J1009" s="1">
        <v>2</v>
      </c>
    </row>
    <row r="1010" spans="1:10" x14ac:dyDescent="0.2">
      <c r="A1010" s="1" t="s">
        <v>6152</v>
      </c>
      <c r="B1010" s="1" t="s">
        <v>6151</v>
      </c>
      <c r="C1010" s="1" t="s">
        <v>6150</v>
      </c>
      <c r="D1010" s="2" t="str">
        <f t="shared" si="15"/>
        <v>http://zfin.org/ZDB-GENE-041008-158</v>
      </c>
      <c r="E1010" s="1" t="s">
        <v>6149</v>
      </c>
      <c r="F1010" s="1">
        <v>1.4569680622088701E-3</v>
      </c>
      <c r="G1010" s="1">
        <v>-0.39074967107359998</v>
      </c>
      <c r="H1010" s="1">
        <v>0</v>
      </c>
      <c r="I1010" s="1">
        <v>0.11700000000000001</v>
      </c>
      <c r="J1010" s="1">
        <v>2</v>
      </c>
    </row>
    <row r="1011" spans="1:10" x14ac:dyDescent="0.2">
      <c r="A1011" s="1" t="s">
        <v>6148</v>
      </c>
      <c r="B1011" s="1" t="s">
        <v>6147</v>
      </c>
      <c r="C1011" s="1" t="s">
        <v>6146</v>
      </c>
      <c r="D1011" s="2" t="str">
        <f t="shared" si="15"/>
        <v>http://zfin.org/ZDB-GENE-030131-34</v>
      </c>
      <c r="E1011" s="1" t="s">
        <v>6145</v>
      </c>
      <c r="F1011" s="3">
        <v>7.5800694175161802E-6</v>
      </c>
      <c r="G1011" s="1">
        <v>-0.39022117435794901</v>
      </c>
      <c r="H1011" s="1">
        <v>0.307</v>
      </c>
      <c r="I1011" s="1">
        <v>0.41699999999999998</v>
      </c>
      <c r="J1011" s="1">
        <v>2</v>
      </c>
    </row>
    <row r="1012" spans="1:10" x14ac:dyDescent="0.2">
      <c r="A1012" s="1" t="s">
        <v>6144</v>
      </c>
      <c r="B1012" s="1" t="s">
        <v>6143</v>
      </c>
      <c r="C1012" s="1" t="s">
        <v>6142</v>
      </c>
      <c r="D1012" s="2" t="str">
        <f t="shared" si="15"/>
        <v>http://zfin.org/ZDB-GENE-060825-315</v>
      </c>
      <c r="E1012" s="1" t="s">
        <v>6141</v>
      </c>
      <c r="F1012" s="1">
        <v>4.0906142063843501E-4</v>
      </c>
      <c r="G1012" s="1">
        <v>-0.39005066934173599</v>
      </c>
      <c r="H1012" s="1">
        <v>8.7999999999999995E-2</v>
      </c>
      <c r="I1012" s="1">
        <v>0.23300000000000001</v>
      </c>
      <c r="J1012" s="1">
        <v>2</v>
      </c>
    </row>
    <row r="1013" spans="1:10" x14ac:dyDescent="0.2">
      <c r="A1013" s="1" t="s">
        <v>6140</v>
      </c>
      <c r="B1013" s="1" t="s">
        <v>6139</v>
      </c>
      <c r="C1013" s="1" t="s">
        <v>6138</v>
      </c>
      <c r="D1013" s="2" t="str">
        <f t="shared" si="15"/>
        <v>http://zfin.org/ZDB-GENE-030131-7016</v>
      </c>
      <c r="E1013" s="1" t="s">
        <v>6137</v>
      </c>
      <c r="F1013" s="1">
        <v>1.68434609149093E-4</v>
      </c>
      <c r="G1013" s="1">
        <v>-0.39004241388039801</v>
      </c>
      <c r="H1013" s="1">
        <v>0.49099999999999999</v>
      </c>
      <c r="I1013" s="1">
        <v>0.58299999999999996</v>
      </c>
      <c r="J1013" s="1">
        <v>2</v>
      </c>
    </row>
    <row r="1014" spans="1:10" x14ac:dyDescent="0.2">
      <c r="A1014" s="1" t="s">
        <v>1275</v>
      </c>
      <c r="B1014" s="1" t="s">
        <v>1274</v>
      </c>
      <c r="C1014" s="1" t="s">
        <v>1273</v>
      </c>
      <c r="D1014" s="2" t="str">
        <f t="shared" si="15"/>
        <v>http://zfin.org/ZDB-GENE-031016-2</v>
      </c>
      <c r="E1014" s="1" t="s">
        <v>6136</v>
      </c>
      <c r="F1014" s="3">
        <v>1.99865668835765E-6</v>
      </c>
      <c r="G1014" s="1">
        <v>-0.38983589219424702</v>
      </c>
      <c r="H1014" s="1">
        <v>0.316</v>
      </c>
      <c r="I1014" s="1">
        <v>0.3</v>
      </c>
      <c r="J1014" s="1">
        <v>2</v>
      </c>
    </row>
    <row r="1015" spans="1:10" x14ac:dyDescent="0.2">
      <c r="A1015" s="1" t="s">
        <v>6135</v>
      </c>
      <c r="B1015" s="1" t="s">
        <v>6134</v>
      </c>
      <c r="C1015" s="1" t="s">
        <v>6133</v>
      </c>
      <c r="D1015" s="2" t="str">
        <f t="shared" si="15"/>
        <v>http://zfin.org/ZDB-GENE-030131-179</v>
      </c>
      <c r="E1015" s="1" t="s">
        <v>6132</v>
      </c>
      <c r="F1015" s="1">
        <v>1.5808489728384801E-3</v>
      </c>
      <c r="G1015" s="1">
        <v>-0.38973687307792099</v>
      </c>
      <c r="H1015" s="1">
        <v>0.34200000000000003</v>
      </c>
      <c r="I1015" s="1">
        <v>0.51700000000000002</v>
      </c>
      <c r="J1015" s="1">
        <v>2</v>
      </c>
    </row>
    <row r="1016" spans="1:10" x14ac:dyDescent="0.2">
      <c r="A1016" s="1" t="s">
        <v>6131</v>
      </c>
      <c r="B1016" s="1" t="s">
        <v>6130</v>
      </c>
      <c r="C1016" s="1" t="s">
        <v>6129</v>
      </c>
      <c r="D1016" s="2" t="str">
        <f t="shared" si="15"/>
        <v>http://zfin.org/ZDB-GENE-040914-27</v>
      </c>
      <c r="E1016" s="1" t="s">
        <v>6128</v>
      </c>
      <c r="F1016" s="3">
        <v>3.0379126557144201E-5</v>
      </c>
      <c r="G1016" s="1">
        <v>-0.38930316710081397</v>
      </c>
      <c r="H1016" s="1">
        <v>0.17499999999999999</v>
      </c>
      <c r="I1016" s="1">
        <v>0.25</v>
      </c>
      <c r="J1016" s="1">
        <v>2</v>
      </c>
    </row>
    <row r="1017" spans="1:10" x14ac:dyDescent="0.2">
      <c r="A1017" s="1" t="s">
        <v>6127</v>
      </c>
      <c r="B1017" s="1" t="s">
        <v>6126</v>
      </c>
      <c r="C1017" s="1" t="s">
        <v>6125</v>
      </c>
      <c r="D1017" s="2" t="str">
        <f t="shared" si="15"/>
        <v>http://zfin.org/ZDB-GENE-060421-5102</v>
      </c>
      <c r="E1017" s="1" t="s">
        <v>6124</v>
      </c>
      <c r="F1017" s="1">
        <v>6.3095543605883703E-4</v>
      </c>
      <c r="G1017" s="1">
        <v>-0.388144924294621</v>
      </c>
      <c r="H1017" s="1">
        <v>0.13200000000000001</v>
      </c>
      <c r="I1017" s="1">
        <v>0.317</v>
      </c>
      <c r="J1017" s="1">
        <v>2</v>
      </c>
    </row>
    <row r="1018" spans="1:10" x14ac:dyDescent="0.2">
      <c r="A1018" s="1" t="s">
        <v>6123</v>
      </c>
      <c r="B1018" s="1" t="s">
        <v>6122</v>
      </c>
      <c r="C1018" s="1" t="s">
        <v>6121</v>
      </c>
      <c r="D1018" s="2" t="str">
        <f t="shared" si="15"/>
        <v>http://zfin.org/ZDB-GENE-030131-2958</v>
      </c>
      <c r="E1018" s="1" t="s">
        <v>6120</v>
      </c>
      <c r="F1018" s="3">
        <v>5.1394326520024104E-6</v>
      </c>
      <c r="G1018" s="1">
        <v>-0.38788768302586801</v>
      </c>
      <c r="H1018" s="1">
        <v>0.17499999999999999</v>
      </c>
      <c r="I1018" s="1">
        <v>0.317</v>
      </c>
      <c r="J1018" s="1">
        <v>2</v>
      </c>
    </row>
    <row r="1019" spans="1:10" x14ac:dyDescent="0.2">
      <c r="A1019" s="1" t="s">
        <v>6119</v>
      </c>
      <c r="B1019" s="1" t="s">
        <v>6118</v>
      </c>
      <c r="C1019" s="1" t="s">
        <v>6117</v>
      </c>
      <c r="D1019" s="2" t="str">
        <f t="shared" si="15"/>
        <v>http://zfin.org/ZDB-GENE-070410-48</v>
      </c>
      <c r="E1019" s="1" t="s">
        <v>6116</v>
      </c>
      <c r="F1019" s="1">
        <v>1.34796079658767E-3</v>
      </c>
      <c r="G1019" s="1">
        <v>-0.38775569286914702</v>
      </c>
      <c r="H1019" s="1">
        <v>0.254</v>
      </c>
      <c r="I1019" s="1">
        <v>0.45</v>
      </c>
      <c r="J1019" s="1">
        <v>2</v>
      </c>
    </row>
    <row r="1020" spans="1:10" x14ac:dyDescent="0.2">
      <c r="A1020" s="1" t="s">
        <v>6115</v>
      </c>
      <c r="B1020" s="1" t="s">
        <v>6114</v>
      </c>
      <c r="C1020" s="1" t="s">
        <v>6113</v>
      </c>
      <c r="D1020" s="2" t="str">
        <f t="shared" si="15"/>
        <v>http://zfin.org/ZDB-GENE-040718-187</v>
      </c>
      <c r="E1020" s="1" t="s">
        <v>6112</v>
      </c>
      <c r="F1020" s="1">
        <v>3.73773020068606E-4</v>
      </c>
      <c r="G1020" s="1">
        <v>-0.38747731966629401</v>
      </c>
      <c r="H1020" s="1">
        <v>0.14899999999999999</v>
      </c>
      <c r="I1020" s="1">
        <v>0.38300000000000001</v>
      </c>
      <c r="J1020" s="1">
        <v>2</v>
      </c>
    </row>
    <row r="1021" spans="1:10" x14ac:dyDescent="0.2">
      <c r="A1021" s="1" t="s">
        <v>6111</v>
      </c>
      <c r="B1021" s="1" t="s">
        <v>6110</v>
      </c>
      <c r="C1021" s="1" t="s">
        <v>6109</v>
      </c>
      <c r="D1021" s="2" t="str">
        <f t="shared" si="15"/>
        <v>http://zfin.org/ZDB-GENE-030131-7649</v>
      </c>
      <c r="E1021" s="1" t="s">
        <v>6108</v>
      </c>
      <c r="F1021" s="1">
        <v>3.8181068616379397E-4</v>
      </c>
      <c r="G1021" s="1">
        <v>-0.38668082278871602</v>
      </c>
      <c r="H1021" s="1">
        <v>0.86799999999999999</v>
      </c>
      <c r="I1021" s="1">
        <v>0.93300000000000005</v>
      </c>
      <c r="J1021" s="1">
        <v>2</v>
      </c>
    </row>
    <row r="1022" spans="1:10" x14ac:dyDescent="0.2">
      <c r="A1022" s="1" t="s">
        <v>6107</v>
      </c>
      <c r="B1022" s="1" t="s">
        <v>6106</v>
      </c>
      <c r="C1022" s="1" t="s">
        <v>6105</v>
      </c>
      <c r="D1022" s="2" t="str">
        <f t="shared" si="15"/>
        <v>http://zfin.org/ZDB-GENE-030616-538</v>
      </c>
      <c r="E1022" s="1" t="s">
        <v>6104</v>
      </c>
      <c r="F1022" s="1">
        <v>4.5386913329654402E-4</v>
      </c>
      <c r="G1022" s="1">
        <v>-0.386371381045372</v>
      </c>
      <c r="H1022" s="1">
        <v>3.5000000000000003E-2</v>
      </c>
      <c r="I1022" s="1">
        <v>0.13300000000000001</v>
      </c>
      <c r="J1022" s="1">
        <v>2</v>
      </c>
    </row>
    <row r="1023" spans="1:10" x14ac:dyDescent="0.2">
      <c r="A1023" s="1" t="s">
        <v>6103</v>
      </c>
      <c r="B1023" s="1" t="s">
        <v>6102</v>
      </c>
      <c r="C1023" s="1" t="s">
        <v>6101</v>
      </c>
      <c r="D1023" s="2" t="str">
        <f t="shared" si="15"/>
        <v>http://zfin.org/ZDB-GENE-990415-8</v>
      </c>
      <c r="E1023" s="1" t="s">
        <v>6100</v>
      </c>
      <c r="F1023" s="1">
        <v>2.7928344062123901E-2</v>
      </c>
      <c r="G1023" s="1">
        <v>-0.38619014247852002</v>
      </c>
      <c r="H1023" s="1">
        <v>0.21099999999999999</v>
      </c>
      <c r="I1023" s="1">
        <v>0.38300000000000001</v>
      </c>
      <c r="J1023" s="1">
        <v>2</v>
      </c>
    </row>
    <row r="1024" spans="1:10" x14ac:dyDescent="0.2">
      <c r="A1024" s="1" t="s">
        <v>6099</v>
      </c>
      <c r="B1024" s="1" t="s">
        <v>6098</v>
      </c>
      <c r="C1024" s="1" t="s">
        <v>6097</v>
      </c>
      <c r="D1024" s="2" t="str">
        <f t="shared" si="15"/>
        <v>http://zfin.org/ZDB-GENE-040426-770</v>
      </c>
      <c r="E1024" s="1" t="s">
        <v>6096</v>
      </c>
      <c r="F1024" s="1">
        <v>9.1526516216837602E-4</v>
      </c>
      <c r="G1024" s="1">
        <v>-0.38613394273148699</v>
      </c>
      <c r="H1024" s="1">
        <v>0.38600000000000001</v>
      </c>
      <c r="I1024" s="1">
        <v>0.51700000000000002</v>
      </c>
      <c r="J1024" s="1">
        <v>2</v>
      </c>
    </row>
    <row r="1025" spans="1:10" x14ac:dyDescent="0.2">
      <c r="A1025" s="1" t="s">
        <v>2830</v>
      </c>
      <c r="B1025" s="1" t="s">
        <v>2829</v>
      </c>
      <c r="C1025" s="1" t="s">
        <v>2828</v>
      </c>
      <c r="D1025" s="2" t="str">
        <f t="shared" si="15"/>
        <v>http://zfin.org/ZDB-GENE-030131-2416</v>
      </c>
      <c r="E1025" s="1" t="s">
        <v>6095</v>
      </c>
      <c r="F1025" s="3">
        <v>7.6848653374243998E-6</v>
      </c>
      <c r="G1025" s="1">
        <v>-0.38594560137532602</v>
      </c>
      <c r="H1025" s="1">
        <v>0.83299999999999996</v>
      </c>
      <c r="I1025" s="1">
        <v>0.81699999999999995</v>
      </c>
      <c r="J1025" s="1">
        <v>2</v>
      </c>
    </row>
    <row r="1026" spans="1:10" x14ac:dyDescent="0.2">
      <c r="A1026" s="1" t="s">
        <v>2230</v>
      </c>
      <c r="B1026" s="1" t="s">
        <v>2229</v>
      </c>
      <c r="C1026" s="1" t="s">
        <v>2228</v>
      </c>
      <c r="D1026" s="2" t="str">
        <f t="shared" ref="D1026:D1089" si="16">HYPERLINK(E1026)</f>
        <v>http://zfin.org/ZDB-GENE-141212-376</v>
      </c>
      <c r="E1026" s="1" t="s">
        <v>6094</v>
      </c>
      <c r="F1026" s="1">
        <v>5.8435705783524297E-4</v>
      </c>
      <c r="G1026" s="1">
        <v>-0.385872177038594</v>
      </c>
      <c r="H1026" s="1">
        <v>7.0000000000000007E-2</v>
      </c>
      <c r="I1026" s="1">
        <v>0.23300000000000001</v>
      </c>
      <c r="J1026" s="1">
        <v>2</v>
      </c>
    </row>
    <row r="1027" spans="1:10" x14ac:dyDescent="0.2">
      <c r="A1027" s="1" t="s">
        <v>6093</v>
      </c>
      <c r="B1027" s="1" t="s">
        <v>6092</v>
      </c>
      <c r="C1027" s="1" t="s">
        <v>6091</v>
      </c>
      <c r="D1027" s="2" t="str">
        <f t="shared" si="16"/>
        <v>http://zfin.org/ZDB-GENE-060929-232</v>
      </c>
      <c r="E1027" s="1" t="s">
        <v>6090</v>
      </c>
      <c r="F1027" s="1">
        <v>1.13154585670586E-2</v>
      </c>
      <c r="G1027" s="1">
        <v>-0.38569184153821201</v>
      </c>
      <c r="H1027" s="1">
        <v>0.28899999999999998</v>
      </c>
      <c r="I1027" s="1">
        <v>0.433</v>
      </c>
      <c r="J1027" s="1">
        <v>2</v>
      </c>
    </row>
    <row r="1028" spans="1:10" x14ac:dyDescent="0.2">
      <c r="A1028" s="1" t="s">
        <v>6089</v>
      </c>
      <c r="B1028" s="1" t="s">
        <v>6088</v>
      </c>
      <c r="C1028" s="1" t="s">
        <v>6087</v>
      </c>
      <c r="D1028" s="2" t="str">
        <f t="shared" si="16"/>
        <v>http://zfin.org/ZDB-GENE-040426-1652</v>
      </c>
      <c r="E1028" s="1" t="s">
        <v>6086</v>
      </c>
      <c r="F1028" s="3">
        <v>9.8220185144069094E-5</v>
      </c>
      <c r="G1028" s="1">
        <v>-0.38525969768075702</v>
      </c>
      <c r="H1028" s="1">
        <v>0.71899999999999997</v>
      </c>
      <c r="I1028" s="1">
        <v>0.76700000000000002</v>
      </c>
      <c r="J1028" s="1">
        <v>2</v>
      </c>
    </row>
    <row r="1029" spans="1:10" x14ac:dyDescent="0.2">
      <c r="A1029" s="1" t="s">
        <v>6085</v>
      </c>
      <c r="B1029" s="1" t="s">
        <v>6084</v>
      </c>
      <c r="C1029" s="1" t="s">
        <v>6083</v>
      </c>
      <c r="D1029" s="2" t="str">
        <f t="shared" si="16"/>
        <v>http://zfin.org/ZDB-GENE-030219-167</v>
      </c>
      <c r="E1029" s="1" t="s">
        <v>6082</v>
      </c>
      <c r="F1029" s="3">
        <v>1.3081963412195201E-8</v>
      </c>
      <c r="G1029" s="1">
        <v>-0.38402363683145402</v>
      </c>
      <c r="H1029" s="1">
        <v>0.27200000000000002</v>
      </c>
      <c r="I1029" s="1">
        <v>0.3</v>
      </c>
      <c r="J1029" s="1">
        <v>2</v>
      </c>
    </row>
    <row r="1030" spans="1:10" x14ac:dyDescent="0.2">
      <c r="A1030" s="1" t="s">
        <v>6081</v>
      </c>
      <c r="B1030" s="1" t="s">
        <v>6080</v>
      </c>
      <c r="C1030" s="1" t="s">
        <v>6079</v>
      </c>
      <c r="D1030" s="2" t="str">
        <f t="shared" si="16"/>
        <v>http://zfin.org/ZDB-GENE-040426-2687</v>
      </c>
      <c r="E1030" s="1" t="s">
        <v>6078</v>
      </c>
      <c r="F1030" s="3">
        <v>8.79356263533364E-7</v>
      </c>
      <c r="G1030" s="1">
        <v>-0.38386367347352701</v>
      </c>
      <c r="H1030" s="1">
        <v>0.105</v>
      </c>
      <c r="I1030" s="1">
        <v>0.23300000000000001</v>
      </c>
      <c r="J1030" s="1">
        <v>2</v>
      </c>
    </row>
    <row r="1031" spans="1:10" x14ac:dyDescent="0.2">
      <c r="A1031" s="1" t="s">
        <v>6077</v>
      </c>
      <c r="B1031" s="1" t="s">
        <v>6076</v>
      </c>
      <c r="C1031" s="1" t="s">
        <v>6075</v>
      </c>
      <c r="D1031" s="2" t="str">
        <f t="shared" si="16"/>
        <v>http://zfin.org/ZDB-GENE-050522-405</v>
      </c>
      <c r="E1031" s="1" t="s">
        <v>6074</v>
      </c>
      <c r="F1031" s="1">
        <v>1.29960851233211E-3</v>
      </c>
      <c r="G1031" s="1">
        <v>-0.38377736547330099</v>
      </c>
      <c r="H1031" s="1">
        <v>0.14899999999999999</v>
      </c>
      <c r="I1031" s="1">
        <v>0.26700000000000002</v>
      </c>
      <c r="J1031" s="1">
        <v>2</v>
      </c>
    </row>
    <row r="1032" spans="1:10" x14ac:dyDescent="0.2">
      <c r="A1032" s="1" t="s">
        <v>368</v>
      </c>
      <c r="B1032" s="1" t="s">
        <v>367</v>
      </c>
      <c r="C1032" s="1" t="s">
        <v>366</v>
      </c>
      <c r="D1032" s="2" t="str">
        <f t="shared" si="16"/>
        <v>http://zfin.org/ZDB-GENE-030318-3</v>
      </c>
      <c r="E1032" s="1" t="s">
        <v>6073</v>
      </c>
      <c r="F1032" s="3">
        <v>1.33275919066447E-6</v>
      </c>
      <c r="G1032" s="1">
        <v>-0.38340282291558397</v>
      </c>
      <c r="H1032" s="1">
        <v>0.57899999999999996</v>
      </c>
      <c r="I1032" s="1">
        <v>0.55000000000000004</v>
      </c>
      <c r="J1032" s="1">
        <v>2</v>
      </c>
    </row>
    <row r="1033" spans="1:10" x14ac:dyDescent="0.2">
      <c r="A1033" s="1" t="s">
        <v>6072</v>
      </c>
      <c r="B1033" s="1" t="s">
        <v>6071</v>
      </c>
      <c r="C1033" s="1" t="s">
        <v>6070</v>
      </c>
      <c r="D1033" s="2" t="str">
        <f t="shared" si="16"/>
        <v>http://zfin.org/ZDB-GENE-040801-226</v>
      </c>
      <c r="E1033" s="1" t="s">
        <v>6069</v>
      </c>
      <c r="F1033" s="1">
        <v>4.8887931708747898E-3</v>
      </c>
      <c r="G1033" s="1">
        <v>-0.38280371800575402</v>
      </c>
      <c r="H1033" s="1">
        <v>0.219</v>
      </c>
      <c r="I1033" s="1">
        <v>0.48299999999999998</v>
      </c>
      <c r="J1033" s="1">
        <v>2</v>
      </c>
    </row>
    <row r="1034" spans="1:10" x14ac:dyDescent="0.2">
      <c r="A1034" s="1" t="s">
        <v>6068</v>
      </c>
      <c r="B1034" s="1" t="s">
        <v>6067</v>
      </c>
      <c r="C1034" s="1" t="s">
        <v>6066</v>
      </c>
      <c r="D1034" s="2" t="str">
        <f t="shared" si="16"/>
        <v>http://zfin.org/ZDB-GENE-050522-307</v>
      </c>
      <c r="E1034" s="1" t="s">
        <v>6065</v>
      </c>
      <c r="F1034" s="3">
        <v>3.0849732763063999E-6</v>
      </c>
      <c r="G1034" s="1">
        <v>-0.38275537445538699</v>
      </c>
      <c r="H1034" s="1">
        <v>0.254</v>
      </c>
      <c r="I1034" s="1">
        <v>0.33300000000000002</v>
      </c>
      <c r="J1034" s="1">
        <v>2</v>
      </c>
    </row>
    <row r="1035" spans="1:10" x14ac:dyDescent="0.2">
      <c r="A1035" s="1" t="s">
        <v>6064</v>
      </c>
      <c r="B1035" s="1" t="s">
        <v>6063</v>
      </c>
      <c r="C1035" s="1" t="s">
        <v>6062</v>
      </c>
      <c r="D1035" s="2" t="str">
        <f t="shared" si="16"/>
        <v>http://zfin.org/ZDB-GENE-061103-64</v>
      </c>
      <c r="E1035" s="1" t="s">
        <v>6061</v>
      </c>
      <c r="F1035" s="1">
        <v>4.1859837503397199E-3</v>
      </c>
      <c r="G1035" s="1">
        <v>-0.38212857717380899</v>
      </c>
      <c r="H1035" s="1">
        <v>8.9999999999999993E-3</v>
      </c>
      <c r="I1035" s="1">
        <v>0.15</v>
      </c>
      <c r="J1035" s="1">
        <v>2</v>
      </c>
    </row>
    <row r="1036" spans="1:10" x14ac:dyDescent="0.2">
      <c r="A1036" s="1" t="s">
        <v>6060</v>
      </c>
      <c r="B1036" s="1" t="s">
        <v>6059</v>
      </c>
      <c r="C1036" s="1" t="s">
        <v>6058</v>
      </c>
      <c r="D1036" s="2" t="str">
        <f t="shared" si="16"/>
        <v>http://zfin.org/ZDB-GENE-040426-1333</v>
      </c>
      <c r="E1036" s="1" t="s">
        <v>6057</v>
      </c>
      <c r="F1036" s="1">
        <v>3.9568719383183799E-4</v>
      </c>
      <c r="G1036" s="1">
        <v>-0.38191166620375999</v>
      </c>
      <c r="H1036" s="1">
        <v>2.5999999999999999E-2</v>
      </c>
      <c r="I1036" s="1">
        <v>0.16700000000000001</v>
      </c>
      <c r="J1036" s="1">
        <v>2</v>
      </c>
    </row>
    <row r="1037" spans="1:10" x14ac:dyDescent="0.2">
      <c r="A1037" s="1" t="s">
        <v>6056</v>
      </c>
      <c r="B1037" s="1" t="s">
        <v>6055</v>
      </c>
      <c r="C1037" s="1" t="s">
        <v>6054</v>
      </c>
      <c r="D1037" s="2" t="str">
        <f t="shared" si="16"/>
        <v>http://zfin.org/ZDB-GENE-041008-25</v>
      </c>
      <c r="E1037" s="1" t="s">
        <v>6053</v>
      </c>
      <c r="F1037" s="3">
        <v>1.16155552457488E-5</v>
      </c>
      <c r="G1037" s="1">
        <v>-0.38163404526244599</v>
      </c>
      <c r="H1037" s="1">
        <v>1.7999999999999999E-2</v>
      </c>
      <c r="I1037" s="1">
        <v>0.217</v>
      </c>
      <c r="J1037" s="1">
        <v>2</v>
      </c>
    </row>
    <row r="1038" spans="1:10" x14ac:dyDescent="0.2">
      <c r="A1038" s="1" t="s">
        <v>1848</v>
      </c>
      <c r="B1038" s="1" t="s">
        <v>1847</v>
      </c>
      <c r="C1038" s="1" t="s">
        <v>1846</v>
      </c>
      <c r="D1038" s="2" t="str">
        <f t="shared" si="16"/>
        <v>http://zfin.org/ZDB-GENE-031118-2</v>
      </c>
      <c r="E1038" s="1" t="s">
        <v>6052</v>
      </c>
      <c r="F1038" s="3">
        <v>4.1701106092531298E-5</v>
      </c>
      <c r="G1038" s="1">
        <v>-0.38160603546022998</v>
      </c>
      <c r="H1038" s="1">
        <v>0.219</v>
      </c>
      <c r="I1038" s="1">
        <v>0.33300000000000002</v>
      </c>
      <c r="J1038" s="1">
        <v>2</v>
      </c>
    </row>
    <row r="1039" spans="1:10" x14ac:dyDescent="0.2">
      <c r="A1039" s="1" t="s">
        <v>6051</v>
      </c>
      <c r="B1039" s="1" t="s">
        <v>6050</v>
      </c>
      <c r="C1039" s="1" t="s">
        <v>6049</v>
      </c>
      <c r="D1039" s="2" t="str">
        <f t="shared" si="16"/>
        <v>http://zfin.org/ZDB-GENE-030131-7676</v>
      </c>
      <c r="E1039" s="1" t="s">
        <v>6048</v>
      </c>
      <c r="F1039" s="3">
        <v>4.3793320097598702E-5</v>
      </c>
      <c r="G1039" s="1">
        <v>-0.38098444234322898</v>
      </c>
      <c r="H1039" s="1">
        <v>0.22800000000000001</v>
      </c>
      <c r="I1039" s="1">
        <v>0.38300000000000001</v>
      </c>
      <c r="J1039" s="1">
        <v>2</v>
      </c>
    </row>
    <row r="1040" spans="1:10" x14ac:dyDescent="0.2">
      <c r="A1040" s="1" t="s">
        <v>6047</v>
      </c>
      <c r="B1040" s="1" t="s">
        <v>6046</v>
      </c>
      <c r="C1040" s="1" t="s">
        <v>6045</v>
      </c>
      <c r="D1040" s="2" t="str">
        <f t="shared" si="16"/>
        <v>http://zfin.org/ZDB-GENE-040426-1669</v>
      </c>
      <c r="E1040" s="1" t="s">
        <v>6044</v>
      </c>
      <c r="F1040" s="1">
        <v>3.0577974176087901E-3</v>
      </c>
      <c r="G1040" s="1">
        <v>-0.38079842624861598</v>
      </c>
      <c r="H1040" s="1">
        <v>0.29799999999999999</v>
      </c>
      <c r="I1040" s="1">
        <v>0.45</v>
      </c>
      <c r="J1040" s="1">
        <v>2</v>
      </c>
    </row>
    <row r="1041" spans="1:10" x14ac:dyDescent="0.2">
      <c r="A1041" s="1" t="s">
        <v>3722</v>
      </c>
      <c r="B1041" s="1" t="s">
        <v>3721</v>
      </c>
      <c r="C1041" s="1" t="s">
        <v>3720</v>
      </c>
      <c r="D1041" s="2" t="str">
        <f t="shared" si="16"/>
        <v>http://zfin.org/ZDB-GENE-030616-54</v>
      </c>
      <c r="E1041" s="1" t="s">
        <v>6043</v>
      </c>
      <c r="F1041" s="1">
        <v>2.8994327221841401E-3</v>
      </c>
      <c r="G1041" s="1">
        <v>-0.38042339431718403</v>
      </c>
      <c r="H1041" s="1">
        <v>0.184</v>
      </c>
      <c r="I1041" s="1">
        <v>0.35</v>
      </c>
      <c r="J1041" s="1">
        <v>2</v>
      </c>
    </row>
    <row r="1042" spans="1:10" x14ac:dyDescent="0.2">
      <c r="A1042" s="1" t="s">
        <v>6042</v>
      </c>
      <c r="B1042" s="1" t="s">
        <v>6041</v>
      </c>
      <c r="C1042" s="1" t="s">
        <v>6040</v>
      </c>
      <c r="D1042" s="2" t="str">
        <f t="shared" si="16"/>
        <v>http://zfin.org/ZDB-GENE-030131-2412</v>
      </c>
      <c r="E1042" s="1" t="s">
        <v>6039</v>
      </c>
      <c r="F1042" s="1">
        <v>9.4072515292555493E-3</v>
      </c>
      <c r="G1042" s="1">
        <v>-0.37954209720962301</v>
      </c>
      <c r="H1042" s="1">
        <v>0.193</v>
      </c>
      <c r="I1042" s="1">
        <v>0.4</v>
      </c>
      <c r="J1042" s="1">
        <v>2</v>
      </c>
    </row>
    <row r="1043" spans="1:10" x14ac:dyDescent="0.2">
      <c r="A1043" s="1" t="s">
        <v>6038</v>
      </c>
      <c r="B1043" s="1" t="s">
        <v>6037</v>
      </c>
      <c r="C1043" s="1" t="s">
        <v>6036</v>
      </c>
      <c r="D1043" s="2" t="str">
        <f t="shared" si="16"/>
        <v>http://zfin.org/ZDB-GENE-030131-3827</v>
      </c>
      <c r="E1043" s="1" t="s">
        <v>6035</v>
      </c>
      <c r="F1043" s="1">
        <v>2.0536094368908499E-4</v>
      </c>
      <c r="G1043" s="1">
        <v>-0.37834159225310299</v>
      </c>
      <c r="H1043" s="1">
        <v>0.51800000000000002</v>
      </c>
      <c r="I1043" s="1">
        <v>0.58299999999999996</v>
      </c>
      <c r="J1043" s="1">
        <v>2</v>
      </c>
    </row>
    <row r="1044" spans="1:10" x14ac:dyDescent="0.2">
      <c r="A1044" s="1" t="s">
        <v>3493</v>
      </c>
      <c r="B1044" s="1" t="s">
        <v>3492</v>
      </c>
      <c r="C1044" s="1" t="s">
        <v>3491</v>
      </c>
      <c r="D1044" s="2" t="str">
        <f t="shared" si="16"/>
        <v>http://zfin.org/ZDB-GENE-030131-6689</v>
      </c>
      <c r="E1044" s="1" t="s">
        <v>6034</v>
      </c>
      <c r="F1044" s="1">
        <v>4.6907305951905399E-4</v>
      </c>
      <c r="G1044" s="1">
        <v>-0.377904979176302</v>
      </c>
      <c r="H1044" s="1">
        <v>0.254</v>
      </c>
      <c r="I1044" s="1">
        <v>0.45</v>
      </c>
      <c r="J1044" s="1">
        <v>2</v>
      </c>
    </row>
    <row r="1045" spans="1:10" x14ac:dyDescent="0.2">
      <c r="A1045" s="1" t="s">
        <v>6033</v>
      </c>
      <c r="B1045" s="1" t="s">
        <v>6032</v>
      </c>
      <c r="C1045" s="1" t="s">
        <v>6031</v>
      </c>
      <c r="D1045" s="2" t="str">
        <f t="shared" si="16"/>
        <v>http://zfin.org/ZDB-GENE-030131-4915</v>
      </c>
      <c r="E1045" s="1" t="s">
        <v>6030</v>
      </c>
      <c r="F1045" s="1">
        <v>1.02459487847339E-4</v>
      </c>
      <c r="G1045" s="1">
        <v>-0.37772405774736101</v>
      </c>
      <c r="H1045" s="1">
        <v>0.61399999999999999</v>
      </c>
      <c r="I1045" s="1">
        <v>0.7</v>
      </c>
      <c r="J1045" s="1">
        <v>2</v>
      </c>
    </row>
    <row r="1046" spans="1:10" x14ac:dyDescent="0.2">
      <c r="A1046" s="1" t="s">
        <v>6029</v>
      </c>
      <c r="B1046" s="1" t="s">
        <v>6028</v>
      </c>
      <c r="C1046" s="1" t="s">
        <v>6027</v>
      </c>
      <c r="D1046" s="2" t="str">
        <f t="shared" si="16"/>
        <v>http://zfin.org/ZDB-GENE-130531-42</v>
      </c>
      <c r="E1046" s="1" t="s">
        <v>6026</v>
      </c>
      <c r="F1046" s="1">
        <v>5.6299383545066004E-3</v>
      </c>
      <c r="G1046" s="1">
        <v>-0.37752440421629901</v>
      </c>
      <c r="H1046" s="1">
        <v>0.32500000000000001</v>
      </c>
      <c r="I1046" s="1">
        <v>0.4</v>
      </c>
      <c r="J1046" s="1">
        <v>2</v>
      </c>
    </row>
    <row r="1047" spans="1:10" x14ac:dyDescent="0.2">
      <c r="A1047" s="1" t="s">
        <v>6025</v>
      </c>
      <c r="B1047" s="1" t="s">
        <v>6024</v>
      </c>
      <c r="C1047" s="1" t="s">
        <v>6023</v>
      </c>
      <c r="D1047" s="2" t="str">
        <f t="shared" si="16"/>
        <v>http://zfin.org/ZDB-GENE-040718-227</v>
      </c>
      <c r="E1047" s="1" t="s">
        <v>6022</v>
      </c>
      <c r="F1047" s="1">
        <v>9.1100306704112906E-3</v>
      </c>
      <c r="G1047" s="1">
        <v>-0.37731453607021498</v>
      </c>
      <c r="H1047" s="1">
        <v>0.5</v>
      </c>
      <c r="I1047" s="1">
        <v>0.63300000000000001</v>
      </c>
      <c r="J1047" s="1">
        <v>2</v>
      </c>
    </row>
    <row r="1048" spans="1:10" x14ac:dyDescent="0.2">
      <c r="A1048" s="1" t="s">
        <v>6021</v>
      </c>
      <c r="B1048" s="1" t="s">
        <v>6020</v>
      </c>
      <c r="C1048" s="1" t="s">
        <v>6019</v>
      </c>
      <c r="D1048" s="2" t="str">
        <f t="shared" si="16"/>
        <v>http://zfin.org/ZDB-GENE-040426-2319</v>
      </c>
      <c r="E1048" s="1" t="s">
        <v>6018</v>
      </c>
      <c r="F1048" s="1">
        <v>9.4756311329403306E-3</v>
      </c>
      <c r="G1048" s="1">
        <v>-0.37711811604470302</v>
      </c>
      <c r="H1048" s="1">
        <v>0.193</v>
      </c>
      <c r="I1048" s="1">
        <v>0.36699999999999999</v>
      </c>
      <c r="J1048" s="1">
        <v>2</v>
      </c>
    </row>
    <row r="1049" spans="1:10" x14ac:dyDescent="0.2">
      <c r="A1049" s="1" t="s">
        <v>6017</v>
      </c>
      <c r="B1049" s="1" t="s">
        <v>6016</v>
      </c>
      <c r="C1049" s="1" t="s">
        <v>6015</v>
      </c>
      <c r="D1049" s="2" t="str">
        <f t="shared" si="16"/>
        <v>http://zfin.org/</v>
      </c>
      <c r="E1049" s="1" t="s">
        <v>4625</v>
      </c>
      <c r="F1049" s="1">
        <v>1.0524575434595E-4</v>
      </c>
      <c r="G1049" s="1">
        <v>-0.377078750655441</v>
      </c>
      <c r="H1049" s="1">
        <v>0.17499999999999999</v>
      </c>
      <c r="I1049" s="1">
        <v>0.3</v>
      </c>
      <c r="J1049" s="1">
        <v>2</v>
      </c>
    </row>
    <row r="1050" spans="1:10" x14ac:dyDescent="0.2">
      <c r="A1050" s="1" t="s">
        <v>6014</v>
      </c>
      <c r="B1050" s="1" t="s">
        <v>6013</v>
      </c>
      <c r="C1050" s="1" t="s">
        <v>6012</v>
      </c>
      <c r="D1050" s="2" t="str">
        <f t="shared" si="16"/>
        <v>http://zfin.org/ZDB-GENE-030131-984</v>
      </c>
      <c r="E1050" s="1" t="s">
        <v>6011</v>
      </c>
      <c r="F1050" s="1">
        <v>4.4180610698797904E-3</v>
      </c>
      <c r="G1050" s="1">
        <v>-0.37626278167931898</v>
      </c>
      <c r="H1050" s="1">
        <v>0.22800000000000001</v>
      </c>
      <c r="I1050" s="1">
        <v>0.433</v>
      </c>
      <c r="J1050" s="1">
        <v>2</v>
      </c>
    </row>
    <row r="1051" spans="1:10" x14ac:dyDescent="0.2">
      <c r="A1051" s="1" t="s">
        <v>6010</v>
      </c>
      <c r="B1051" s="1" t="s">
        <v>6009</v>
      </c>
      <c r="C1051" s="1" t="s">
        <v>6008</v>
      </c>
      <c r="D1051" s="2" t="str">
        <f t="shared" si="16"/>
        <v>http://zfin.org/ZDB-GENE-030131-5658</v>
      </c>
      <c r="E1051" s="1" t="s">
        <v>6007</v>
      </c>
      <c r="F1051" s="1">
        <v>1.2951001168929699E-4</v>
      </c>
      <c r="G1051" s="1">
        <v>-0.37608766179467101</v>
      </c>
      <c r="H1051" s="1">
        <v>0.123</v>
      </c>
      <c r="I1051" s="1">
        <v>0.217</v>
      </c>
      <c r="J1051" s="1">
        <v>2</v>
      </c>
    </row>
    <row r="1052" spans="1:10" x14ac:dyDescent="0.2">
      <c r="A1052" s="1" t="s">
        <v>4253</v>
      </c>
      <c r="B1052" s="1" t="s">
        <v>4252</v>
      </c>
      <c r="C1052" s="1" t="s">
        <v>4251</v>
      </c>
      <c r="D1052" s="2" t="str">
        <f t="shared" si="16"/>
        <v>http://zfin.org/ZDB-GENE-030131-180</v>
      </c>
      <c r="E1052" s="1" t="s">
        <v>6006</v>
      </c>
      <c r="F1052" s="3">
        <v>5.3613559918894998E-5</v>
      </c>
      <c r="G1052" s="1">
        <v>-0.37580396197142801</v>
      </c>
      <c r="H1052" s="1">
        <v>0.105</v>
      </c>
      <c r="I1052" s="1">
        <v>0.183</v>
      </c>
      <c r="J1052" s="1">
        <v>2</v>
      </c>
    </row>
    <row r="1053" spans="1:10" x14ac:dyDescent="0.2">
      <c r="A1053" s="1" t="s">
        <v>6005</v>
      </c>
      <c r="B1053" s="1" t="s">
        <v>6004</v>
      </c>
      <c r="C1053" s="1" t="s">
        <v>6003</v>
      </c>
      <c r="D1053" s="2" t="str">
        <f t="shared" si="16"/>
        <v>http://zfin.org/ZDB-GENE-040426-1288</v>
      </c>
      <c r="E1053" s="1" t="s">
        <v>6002</v>
      </c>
      <c r="F1053" s="1">
        <v>1.19983168861905E-4</v>
      </c>
      <c r="G1053" s="1">
        <v>-0.37520445349860698</v>
      </c>
      <c r="H1053" s="1">
        <v>0.23699999999999999</v>
      </c>
      <c r="I1053" s="1">
        <v>0.36699999999999999</v>
      </c>
      <c r="J1053" s="1">
        <v>2</v>
      </c>
    </row>
    <row r="1054" spans="1:10" x14ac:dyDescent="0.2">
      <c r="A1054" s="1" t="s">
        <v>6001</v>
      </c>
      <c r="B1054" s="1" t="s">
        <v>6000</v>
      </c>
      <c r="C1054" s="1" t="s">
        <v>5999</v>
      </c>
      <c r="D1054" s="2" t="str">
        <f t="shared" si="16"/>
        <v>http://zfin.org/ZDB-GENE-040426-2044</v>
      </c>
      <c r="E1054" s="1" t="s">
        <v>5998</v>
      </c>
      <c r="F1054" s="1">
        <v>1.3450108732546E-2</v>
      </c>
      <c r="G1054" s="1">
        <v>-0.37439329717507203</v>
      </c>
      <c r="H1054" s="1">
        <v>2.5999999999999999E-2</v>
      </c>
      <c r="I1054" s="1">
        <v>0.13300000000000001</v>
      </c>
      <c r="J1054" s="1">
        <v>2</v>
      </c>
    </row>
    <row r="1055" spans="1:10" x14ac:dyDescent="0.2">
      <c r="A1055" s="1" t="s">
        <v>2723</v>
      </c>
      <c r="B1055" s="1" t="s">
        <v>2722</v>
      </c>
      <c r="C1055" s="1" t="s">
        <v>2721</v>
      </c>
      <c r="D1055" s="2" t="str">
        <f t="shared" si="16"/>
        <v>http://zfin.org/ZDB-GENE-980526-466</v>
      </c>
      <c r="E1055" s="1" t="s">
        <v>5997</v>
      </c>
      <c r="F1055" s="1">
        <v>3.6319626819977498E-4</v>
      </c>
      <c r="G1055" s="1">
        <v>-0.37340620630368898</v>
      </c>
      <c r="H1055" s="1">
        <v>7.0000000000000007E-2</v>
      </c>
      <c r="I1055" s="1">
        <v>0.13300000000000001</v>
      </c>
      <c r="J1055" s="1">
        <v>2</v>
      </c>
    </row>
    <row r="1056" spans="1:10" x14ac:dyDescent="0.2">
      <c r="A1056" s="1" t="s">
        <v>5996</v>
      </c>
      <c r="B1056" s="1" t="s">
        <v>5995</v>
      </c>
      <c r="C1056" s="1" t="s">
        <v>5994</v>
      </c>
      <c r="D1056" s="2" t="str">
        <f t="shared" si="16"/>
        <v>http://zfin.org/ZDB-GENE-040426-2150</v>
      </c>
      <c r="E1056" s="1" t="s">
        <v>5993</v>
      </c>
      <c r="F1056" s="1">
        <v>7.6309793002927199E-3</v>
      </c>
      <c r="G1056" s="1">
        <v>-0.37317059604060399</v>
      </c>
      <c r="H1056" s="1">
        <v>0.38600000000000001</v>
      </c>
      <c r="I1056" s="1">
        <v>0.53300000000000003</v>
      </c>
      <c r="J1056" s="1">
        <v>2</v>
      </c>
    </row>
    <row r="1057" spans="1:10" x14ac:dyDescent="0.2">
      <c r="A1057" s="1" t="s">
        <v>5992</v>
      </c>
      <c r="B1057" s="1" t="s">
        <v>5991</v>
      </c>
      <c r="C1057" s="1" t="s">
        <v>5990</v>
      </c>
      <c r="D1057" s="2" t="str">
        <f t="shared" si="16"/>
        <v>http://zfin.org/ZDB-GENE-030131-5455</v>
      </c>
      <c r="E1057" s="1" t="s">
        <v>5989</v>
      </c>
      <c r="F1057" s="1">
        <v>6.0514770590095E-3</v>
      </c>
      <c r="G1057" s="1">
        <v>-0.372893775792138</v>
      </c>
      <c r="H1057" s="1">
        <v>6.0999999999999999E-2</v>
      </c>
      <c r="I1057" s="1">
        <v>0.183</v>
      </c>
      <c r="J1057" s="1">
        <v>2</v>
      </c>
    </row>
    <row r="1058" spans="1:10" x14ac:dyDescent="0.2">
      <c r="A1058" s="1" t="s">
        <v>3827</v>
      </c>
      <c r="B1058" s="1" t="s">
        <v>3826</v>
      </c>
      <c r="C1058" s="1" t="s">
        <v>3825</v>
      </c>
      <c r="D1058" s="2" t="str">
        <f t="shared" si="16"/>
        <v>http://zfin.org/ZDB-GENE-030131-5431</v>
      </c>
      <c r="E1058" s="1" t="s">
        <v>5988</v>
      </c>
      <c r="F1058" s="1">
        <v>4.2261484267534999E-4</v>
      </c>
      <c r="G1058" s="1">
        <v>-0.37257650484918498</v>
      </c>
      <c r="H1058" s="1">
        <v>7.9000000000000001E-2</v>
      </c>
      <c r="I1058" s="1">
        <v>0.28299999999999997</v>
      </c>
      <c r="J1058" s="1">
        <v>2</v>
      </c>
    </row>
    <row r="1059" spans="1:10" x14ac:dyDescent="0.2">
      <c r="A1059" s="1" t="s">
        <v>5987</v>
      </c>
      <c r="B1059" s="1" t="s">
        <v>5986</v>
      </c>
      <c r="C1059" s="1" t="s">
        <v>5985</v>
      </c>
      <c r="D1059" s="2" t="str">
        <f t="shared" si="16"/>
        <v>http://zfin.org/ZDB-GENE-030826-16</v>
      </c>
      <c r="E1059" s="1" t="s">
        <v>5984</v>
      </c>
      <c r="F1059" s="3">
        <v>1.1003750735045599E-6</v>
      </c>
      <c r="G1059" s="1">
        <v>-0.372502262576141</v>
      </c>
      <c r="H1059" s="1">
        <v>0.123</v>
      </c>
      <c r="I1059" s="1">
        <v>0.26700000000000002</v>
      </c>
      <c r="J1059" s="1">
        <v>2</v>
      </c>
    </row>
    <row r="1060" spans="1:10" x14ac:dyDescent="0.2">
      <c r="A1060" s="1" t="s">
        <v>5983</v>
      </c>
      <c r="B1060" s="1" t="s">
        <v>5982</v>
      </c>
      <c r="C1060" s="1" t="s">
        <v>5981</v>
      </c>
      <c r="D1060" s="2" t="str">
        <f t="shared" si="16"/>
        <v>http://zfin.org/ZDB-GENE-050522-117</v>
      </c>
      <c r="E1060" s="1" t="s">
        <v>5980</v>
      </c>
      <c r="F1060" s="3">
        <v>9.8514885571321798E-5</v>
      </c>
      <c r="G1060" s="1">
        <v>-0.37223048005707199</v>
      </c>
      <c r="H1060" s="1">
        <v>0.28100000000000003</v>
      </c>
      <c r="I1060" s="1">
        <v>0.41699999999999998</v>
      </c>
      <c r="J1060" s="1">
        <v>2</v>
      </c>
    </row>
    <row r="1061" spans="1:10" x14ac:dyDescent="0.2">
      <c r="A1061" s="1" t="s">
        <v>5979</v>
      </c>
      <c r="B1061" s="1" t="s">
        <v>5978</v>
      </c>
      <c r="C1061" s="1" t="s">
        <v>5977</v>
      </c>
      <c r="D1061" s="2" t="str">
        <f t="shared" si="16"/>
        <v>http://zfin.org/ZDB-GENE-040426-2487</v>
      </c>
      <c r="E1061" s="1" t="s">
        <v>5976</v>
      </c>
      <c r="F1061" s="1">
        <v>1.9844761807330498E-3</v>
      </c>
      <c r="G1061" s="1">
        <v>-0.37201054525656901</v>
      </c>
      <c r="H1061" s="1">
        <v>0.42099999999999999</v>
      </c>
      <c r="I1061" s="1">
        <v>0.53300000000000003</v>
      </c>
      <c r="J1061" s="1">
        <v>2</v>
      </c>
    </row>
    <row r="1062" spans="1:10" x14ac:dyDescent="0.2">
      <c r="A1062" s="1" t="s">
        <v>5975</v>
      </c>
      <c r="B1062" s="1" t="s">
        <v>5974</v>
      </c>
      <c r="C1062" s="1" t="s">
        <v>5973</v>
      </c>
      <c r="D1062" s="2" t="str">
        <f t="shared" si="16"/>
        <v>http://zfin.org/ZDB-GENE-040927-8</v>
      </c>
      <c r="E1062" s="1" t="s">
        <v>5972</v>
      </c>
      <c r="F1062" s="1">
        <v>1.3616154100973899E-3</v>
      </c>
      <c r="G1062" s="1">
        <v>-0.371600048899701</v>
      </c>
      <c r="H1062" s="1">
        <v>0.33300000000000002</v>
      </c>
      <c r="I1062" s="1">
        <v>0.41699999999999998</v>
      </c>
      <c r="J1062" s="1">
        <v>2</v>
      </c>
    </row>
    <row r="1063" spans="1:10" x14ac:dyDescent="0.2">
      <c r="A1063" s="1" t="s">
        <v>5971</v>
      </c>
      <c r="B1063" s="1" t="s">
        <v>5970</v>
      </c>
      <c r="C1063" s="1" t="s">
        <v>5969</v>
      </c>
      <c r="D1063" s="2" t="str">
        <f t="shared" si="16"/>
        <v>http://zfin.org/ZDB-GENE-040426-893</v>
      </c>
      <c r="E1063" s="1" t="s">
        <v>5968</v>
      </c>
      <c r="F1063" s="3">
        <v>9.2327878094139296E-7</v>
      </c>
      <c r="G1063" s="1">
        <v>-0.37150876498289098</v>
      </c>
      <c r="H1063" s="1">
        <v>7.9000000000000001E-2</v>
      </c>
      <c r="I1063" s="1">
        <v>0.26700000000000002</v>
      </c>
      <c r="J1063" s="1">
        <v>2</v>
      </c>
    </row>
    <row r="1064" spans="1:10" x14ac:dyDescent="0.2">
      <c r="A1064" s="1" t="s">
        <v>5967</v>
      </c>
      <c r="B1064" s="1" t="s">
        <v>5966</v>
      </c>
      <c r="C1064" s="1" t="s">
        <v>5965</v>
      </c>
      <c r="D1064" s="2" t="str">
        <f t="shared" si="16"/>
        <v>http://zfin.org/ZDB-GENE-040426-2570</v>
      </c>
      <c r="E1064" s="1" t="s">
        <v>5964</v>
      </c>
      <c r="F1064" s="1">
        <v>3.9263583053322001E-4</v>
      </c>
      <c r="G1064" s="1">
        <v>-0.37140052851281602</v>
      </c>
      <c r="H1064" s="1">
        <v>0.746</v>
      </c>
      <c r="I1064" s="1">
        <v>0.8</v>
      </c>
      <c r="J1064" s="1">
        <v>2</v>
      </c>
    </row>
    <row r="1065" spans="1:10" x14ac:dyDescent="0.2">
      <c r="A1065" s="1" t="s">
        <v>5963</v>
      </c>
      <c r="B1065" s="1" t="s">
        <v>5962</v>
      </c>
      <c r="C1065" s="1" t="s">
        <v>5961</v>
      </c>
      <c r="D1065" s="2" t="str">
        <f t="shared" si="16"/>
        <v>http://zfin.org/ZDB-GENE-090417-1</v>
      </c>
      <c r="E1065" s="1" t="s">
        <v>5960</v>
      </c>
      <c r="F1065" s="3">
        <v>1.11509308247695E-5</v>
      </c>
      <c r="G1065" s="1">
        <v>-0.37066333041776101</v>
      </c>
      <c r="H1065" s="1">
        <v>0.29799999999999999</v>
      </c>
      <c r="I1065" s="1">
        <v>0.38300000000000001</v>
      </c>
      <c r="J1065" s="1">
        <v>2</v>
      </c>
    </row>
    <row r="1066" spans="1:10" x14ac:dyDescent="0.2">
      <c r="A1066" s="1" t="s">
        <v>3114</v>
      </c>
      <c r="B1066" s="1" t="s">
        <v>3113</v>
      </c>
      <c r="C1066" s="1" t="s">
        <v>3112</v>
      </c>
      <c r="D1066" s="2" t="str">
        <f t="shared" si="16"/>
        <v>http://zfin.org/ZDB-GENE-030131-448</v>
      </c>
      <c r="E1066" s="1" t="s">
        <v>5959</v>
      </c>
      <c r="F1066" s="3">
        <v>4.8220983255409302E-9</v>
      </c>
      <c r="G1066" s="1">
        <v>-0.37035129888975898</v>
      </c>
      <c r="H1066" s="1">
        <v>0.85099999999999998</v>
      </c>
      <c r="I1066" s="1">
        <v>0.73299999999999998</v>
      </c>
      <c r="J1066" s="1">
        <v>2</v>
      </c>
    </row>
    <row r="1067" spans="1:10" x14ac:dyDescent="0.2">
      <c r="A1067" s="1" t="s">
        <v>5958</v>
      </c>
      <c r="B1067" s="1" t="s">
        <v>5957</v>
      </c>
      <c r="C1067" s="1" t="s">
        <v>5956</v>
      </c>
      <c r="D1067" s="2" t="str">
        <f t="shared" si="16"/>
        <v>http://zfin.org/ZDB-GENE-080219-32</v>
      </c>
      <c r="E1067" s="1" t="s">
        <v>5955</v>
      </c>
      <c r="F1067" s="1">
        <v>5.6215451453995896E-4</v>
      </c>
      <c r="G1067" s="1">
        <v>-0.36992887820085901</v>
      </c>
      <c r="H1067" s="1">
        <v>0.32500000000000001</v>
      </c>
      <c r="I1067" s="1">
        <v>0.433</v>
      </c>
      <c r="J1067" s="1">
        <v>2</v>
      </c>
    </row>
    <row r="1068" spans="1:10" x14ac:dyDescent="0.2">
      <c r="A1068" s="1" t="s">
        <v>5954</v>
      </c>
      <c r="B1068" s="1" t="s">
        <v>5953</v>
      </c>
      <c r="C1068" s="1" t="s">
        <v>5952</v>
      </c>
      <c r="D1068" s="2" t="str">
        <f t="shared" si="16"/>
        <v>http://zfin.org/ZDB-GENE-030131-970</v>
      </c>
      <c r="E1068" s="1" t="s">
        <v>5951</v>
      </c>
      <c r="F1068" s="3">
        <v>5.2869965320763603E-5</v>
      </c>
      <c r="G1068" s="1">
        <v>-0.36965724101052899</v>
      </c>
      <c r="H1068" s="1">
        <v>0.123</v>
      </c>
      <c r="I1068" s="1">
        <v>0.33300000000000002</v>
      </c>
      <c r="J1068" s="1">
        <v>2</v>
      </c>
    </row>
    <row r="1069" spans="1:10" x14ac:dyDescent="0.2">
      <c r="A1069" s="1" t="s">
        <v>5950</v>
      </c>
      <c r="B1069" s="1" t="s">
        <v>5949</v>
      </c>
      <c r="C1069" s="1" t="s">
        <v>5948</v>
      </c>
      <c r="D1069" s="2" t="str">
        <f t="shared" si="16"/>
        <v>http://zfin.org/ZDB-GENE-000511-3</v>
      </c>
      <c r="E1069" s="1" t="s">
        <v>5947</v>
      </c>
      <c r="F1069" s="3">
        <v>1.0697052339424101E-7</v>
      </c>
      <c r="G1069" s="1">
        <v>-0.36960312870837397</v>
      </c>
      <c r="H1069" s="1">
        <v>0.27200000000000002</v>
      </c>
      <c r="I1069" s="1">
        <v>0.317</v>
      </c>
      <c r="J1069" s="1">
        <v>2</v>
      </c>
    </row>
    <row r="1070" spans="1:10" x14ac:dyDescent="0.2">
      <c r="A1070" s="1" t="s">
        <v>5946</v>
      </c>
      <c r="B1070" s="1" t="s">
        <v>5945</v>
      </c>
      <c r="C1070" s="1" t="s">
        <v>5944</v>
      </c>
      <c r="D1070" s="2" t="str">
        <f t="shared" si="16"/>
        <v>http://zfin.org/ZDB-GENE-040426-2592</v>
      </c>
      <c r="E1070" s="1" t="s">
        <v>5943</v>
      </c>
      <c r="F1070" s="3">
        <v>2.5546564352794001E-6</v>
      </c>
      <c r="G1070" s="1">
        <v>-0.36946466535344802</v>
      </c>
      <c r="H1070" s="1">
        <v>0.123</v>
      </c>
      <c r="I1070" s="1">
        <v>0.25</v>
      </c>
      <c r="J1070" s="1">
        <v>2</v>
      </c>
    </row>
    <row r="1071" spans="1:10" x14ac:dyDescent="0.2">
      <c r="A1071" s="1" t="s">
        <v>5942</v>
      </c>
      <c r="B1071" s="1" t="s">
        <v>5941</v>
      </c>
      <c r="C1071" s="1" t="s">
        <v>5940</v>
      </c>
      <c r="D1071" s="2" t="str">
        <f t="shared" si="16"/>
        <v>http://zfin.org/ZDB-GENE-050809-130</v>
      </c>
      <c r="E1071" s="1" t="s">
        <v>5939</v>
      </c>
      <c r="F1071" s="3">
        <v>5.7431658435985298E-6</v>
      </c>
      <c r="G1071" s="1">
        <v>-0.36840700351976802</v>
      </c>
      <c r="H1071" s="1">
        <v>0.77200000000000002</v>
      </c>
      <c r="I1071" s="1">
        <v>0.73299999999999998</v>
      </c>
      <c r="J1071" s="1">
        <v>2</v>
      </c>
    </row>
    <row r="1072" spans="1:10" x14ac:dyDescent="0.2">
      <c r="A1072" s="1" t="s">
        <v>5938</v>
      </c>
      <c r="B1072" s="1" t="s">
        <v>5937</v>
      </c>
      <c r="C1072" s="1" t="s">
        <v>5936</v>
      </c>
      <c r="D1072" s="2" t="str">
        <f t="shared" si="16"/>
        <v>http://zfin.org/ZDB-GENE-050417-67</v>
      </c>
      <c r="E1072" s="1" t="s">
        <v>5935</v>
      </c>
      <c r="F1072" s="1">
        <v>6.7023102089129702E-4</v>
      </c>
      <c r="G1072" s="1">
        <v>-0.36834733240704698</v>
      </c>
      <c r="H1072" s="1">
        <v>4.3999999999999997E-2</v>
      </c>
      <c r="I1072" s="1">
        <v>0.217</v>
      </c>
      <c r="J1072" s="1">
        <v>2</v>
      </c>
    </row>
    <row r="1073" spans="1:10" x14ac:dyDescent="0.2">
      <c r="A1073" s="1" t="s">
        <v>5934</v>
      </c>
      <c r="B1073" s="1" t="s">
        <v>5933</v>
      </c>
      <c r="C1073" s="1" t="s">
        <v>5932</v>
      </c>
      <c r="D1073" s="2" t="str">
        <f t="shared" si="16"/>
        <v>http://zfin.org/ZDB-GENE-041212-76</v>
      </c>
      <c r="E1073" s="1" t="s">
        <v>5931</v>
      </c>
      <c r="F1073" s="3">
        <v>6.6856094932215096E-5</v>
      </c>
      <c r="G1073" s="1">
        <v>-0.36687769906745898</v>
      </c>
      <c r="H1073" s="1">
        <v>0.17499999999999999</v>
      </c>
      <c r="I1073" s="1">
        <v>0.317</v>
      </c>
      <c r="J1073" s="1">
        <v>2</v>
      </c>
    </row>
    <row r="1074" spans="1:10" x14ac:dyDescent="0.2">
      <c r="A1074" s="1" t="s">
        <v>5930</v>
      </c>
      <c r="B1074" s="1" t="s">
        <v>5929</v>
      </c>
      <c r="C1074" s="1" t="s">
        <v>5928</v>
      </c>
      <c r="D1074" s="2" t="str">
        <f t="shared" si="16"/>
        <v>http://zfin.org/ZDB-GENE-041010-106</v>
      </c>
      <c r="E1074" s="1" t="s">
        <v>5927</v>
      </c>
      <c r="F1074" s="1">
        <v>3.3883691641879601E-4</v>
      </c>
      <c r="G1074" s="1">
        <v>-0.366799647045921</v>
      </c>
      <c r="H1074" s="1">
        <v>7.9000000000000001E-2</v>
      </c>
      <c r="I1074" s="1">
        <v>0.3</v>
      </c>
      <c r="J1074" s="1">
        <v>2</v>
      </c>
    </row>
    <row r="1075" spans="1:10" x14ac:dyDescent="0.2">
      <c r="A1075" s="1" t="s">
        <v>5926</v>
      </c>
      <c r="B1075" s="1" t="s">
        <v>5925</v>
      </c>
      <c r="C1075" s="1" t="s">
        <v>5924</v>
      </c>
      <c r="D1075" s="2" t="str">
        <f t="shared" si="16"/>
        <v>http://zfin.org/ZDB-GENE-030131-3197</v>
      </c>
      <c r="E1075" s="1" t="s">
        <v>5923</v>
      </c>
      <c r="F1075" s="1">
        <v>3.1258827808371001E-4</v>
      </c>
      <c r="G1075" s="1">
        <v>-0.36679515456468698</v>
      </c>
      <c r="H1075" s="1">
        <v>0.51800000000000002</v>
      </c>
      <c r="I1075" s="1">
        <v>0.65</v>
      </c>
      <c r="J1075" s="1">
        <v>2</v>
      </c>
    </row>
    <row r="1076" spans="1:10" x14ac:dyDescent="0.2">
      <c r="A1076" s="1" t="s">
        <v>5922</v>
      </c>
      <c r="B1076" s="1" t="s">
        <v>5921</v>
      </c>
      <c r="C1076" s="1" t="s">
        <v>5920</v>
      </c>
      <c r="D1076" s="2" t="str">
        <f t="shared" si="16"/>
        <v>http://zfin.org/ZDB-GENE-130530-870</v>
      </c>
      <c r="E1076" s="1" t="s">
        <v>5919</v>
      </c>
      <c r="F1076" s="1">
        <v>2.4280886794884101E-4</v>
      </c>
      <c r="G1076" s="1">
        <v>-0.36636849584111197</v>
      </c>
      <c r="H1076" s="1">
        <v>0.53500000000000003</v>
      </c>
      <c r="I1076" s="1">
        <v>0.61699999999999999</v>
      </c>
      <c r="J1076" s="1">
        <v>2</v>
      </c>
    </row>
    <row r="1077" spans="1:10" x14ac:dyDescent="0.2">
      <c r="A1077" s="1" t="s">
        <v>5918</v>
      </c>
      <c r="B1077" s="1" t="s">
        <v>5917</v>
      </c>
      <c r="C1077" s="1" t="s">
        <v>5916</v>
      </c>
      <c r="D1077" s="2" t="str">
        <f t="shared" si="16"/>
        <v>http://zfin.org/ZDB-GENE-040801-108</v>
      </c>
      <c r="E1077" s="1" t="s">
        <v>5915</v>
      </c>
      <c r="F1077" s="1">
        <v>1.4588403527765099E-3</v>
      </c>
      <c r="G1077" s="1">
        <v>-0.36627929855489599</v>
      </c>
      <c r="H1077" s="1">
        <v>0.36799999999999999</v>
      </c>
      <c r="I1077" s="1">
        <v>0.53300000000000003</v>
      </c>
      <c r="J1077" s="1">
        <v>2</v>
      </c>
    </row>
    <row r="1078" spans="1:10" x14ac:dyDescent="0.2">
      <c r="A1078" s="1" t="s">
        <v>3487</v>
      </c>
      <c r="B1078" s="1" t="s">
        <v>3486</v>
      </c>
      <c r="C1078" s="1" t="s">
        <v>3485</v>
      </c>
      <c r="D1078" s="2" t="str">
        <f t="shared" si="16"/>
        <v>http://zfin.org/ZDB-GENE-030131-3151</v>
      </c>
      <c r="E1078" s="1" t="s">
        <v>5914</v>
      </c>
      <c r="F1078" s="3">
        <v>6.92172808068177E-7</v>
      </c>
      <c r="G1078" s="1">
        <v>-0.36592585800759397</v>
      </c>
      <c r="H1078" s="1">
        <v>0.22800000000000001</v>
      </c>
      <c r="I1078" s="1">
        <v>0.26700000000000002</v>
      </c>
      <c r="J1078" s="1">
        <v>2</v>
      </c>
    </row>
    <row r="1079" spans="1:10" x14ac:dyDescent="0.2">
      <c r="A1079" s="1" t="s">
        <v>5913</v>
      </c>
      <c r="B1079" s="1" t="s">
        <v>5912</v>
      </c>
      <c r="C1079" s="1" t="s">
        <v>5911</v>
      </c>
      <c r="D1079" s="2" t="str">
        <f t="shared" si="16"/>
        <v>http://zfin.org/ZDB-GENE-030131-3205</v>
      </c>
      <c r="E1079" s="1" t="s">
        <v>5910</v>
      </c>
      <c r="F1079" s="3">
        <v>1.70693396744423E-6</v>
      </c>
      <c r="G1079" s="1">
        <v>-0.36547968617477899</v>
      </c>
      <c r="H1079" s="1">
        <v>0.13200000000000001</v>
      </c>
      <c r="I1079" s="1">
        <v>0.26700000000000002</v>
      </c>
      <c r="J1079" s="1">
        <v>2</v>
      </c>
    </row>
    <row r="1080" spans="1:10" x14ac:dyDescent="0.2">
      <c r="A1080" s="1" t="s">
        <v>5909</v>
      </c>
      <c r="B1080" s="1" t="s">
        <v>5908</v>
      </c>
      <c r="C1080" s="1" t="s">
        <v>5907</v>
      </c>
      <c r="D1080" s="2" t="str">
        <f t="shared" si="16"/>
        <v>http://zfin.org/ZDB-GENE-040426-1926</v>
      </c>
      <c r="E1080" s="1" t="s">
        <v>5906</v>
      </c>
      <c r="F1080" s="3">
        <v>4.2655150556792399E-5</v>
      </c>
      <c r="G1080" s="1">
        <v>-0.36513297222600899</v>
      </c>
      <c r="H1080" s="1">
        <v>0.623</v>
      </c>
      <c r="I1080" s="1">
        <v>0.66700000000000004</v>
      </c>
      <c r="J1080" s="1">
        <v>2</v>
      </c>
    </row>
    <row r="1081" spans="1:10" x14ac:dyDescent="0.2">
      <c r="A1081" s="1" t="s">
        <v>5905</v>
      </c>
      <c r="B1081" s="1" t="s">
        <v>5904</v>
      </c>
      <c r="C1081" s="1" t="s">
        <v>5903</v>
      </c>
      <c r="D1081" s="2" t="str">
        <f t="shared" si="16"/>
        <v>http://zfin.org/ZDB-GENE-030131-779</v>
      </c>
      <c r="E1081" s="1" t="s">
        <v>5902</v>
      </c>
      <c r="F1081" s="1">
        <v>3.0744318721539701E-4</v>
      </c>
      <c r="G1081" s="1">
        <v>-0.36509103028066597</v>
      </c>
      <c r="H1081" s="1">
        <v>0.78100000000000003</v>
      </c>
      <c r="I1081" s="1">
        <v>0.76700000000000002</v>
      </c>
      <c r="J1081" s="1">
        <v>2</v>
      </c>
    </row>
    <row r="1082" spans="1:10" x14ac:dyDescent="0.2">
      <c r="A1082" s="1" t="s">
        <v>5901</v>
      </c>
      <c r="B1082" s="1" t="s">
        <v>5900</v>
      </c>
      <c r="C1082" s="1" t="s">
        <v>5899</v>
      </c>
      <c r="D1082" s="2" t="str">
        <f t="shared" si="16"/>
        <v>http://zfin.org/ZDB-GENE-030131-4797</v>
      </c>
      <c r="E1082" s="1" t="s">
        <v>5898</v>
      </c>
      <c r="F1082" s="1">
        <v>2.4852726570530502E-3</v>
      </c>
      <c r="G1082" s="1">
        <v>-0.36473974217586302</v>
      </c>
      <c r="H1082" s="1">
        <v>0.105</v>
      </c>
      <c r="I1082" s="1">
        <v>0.28299999999999997</v>
      </c>
      <c r="J1082" s="1">
        <v>2</v>
      </c>
    </row>
    <row r="1083" spans="1:10" x14ac:dyDescent="0.2">
      <c r="A1083" s="1" t="s">
        <v>5897</v>
      </c>
      <c r="B1083" s="1" t="s">
        <v>5896</v>
      </c>
      <c r="C1083" s="1" t="s">
        <v>5895</v>
      </c>
      <c r="D1083" s="2" t="str">
        <f t="shared" si="16"/>
        <v>http://zfin.org/ZDB-GENE-040426-2452</v>
      </c>
      <c r="E1083" s="1" t="s">
        <v>5894</v>
      </c>
      <c r="F1083" s="3">
        <v>3.25495706395397E-5</v>
      </c>
      <c r="G1083" s="1">
        <v>-0.36425567055837099</v>
      </c>
      <c r="H1083" s="1">
        <v>0.28899999999999998</v>
      </c>
      <c r="I1083" s="1">
        <v>0.35</v>
      </c>
      <c r="J1083" s="1">
        <v>2</v>
      </c>
    </row>
    <row r="1084" spans="1:10" x14ac:dyDescent="0.2">
      <c r="A1084" s="1" t="s">
        <v>5893</v>
      </c>
      <c r="B1084" s="1" t="s">
        <v>535</v>
      </c>
      <c r="C1084" s="1" t="s">
        <v>534</v>
      </c>
      <c r="D1084" s="2" t="str">
        <f t="shared" si="16"/>
        <v>http://zfin.org/ZDB-GENE-040426-1687</v>
      </c>
      <c r="E1084" s="1" t="s">
        <v>5892</v>
      </c>
      <c r="F1084" s="1">
        <v>6.1316400745459101E-3</v>
      </c>
      <c r="G1084" s="1">
        <v>-0.36361155973917603</v>
      </c>
      <c r="H1084" s="1">
        <v>0.64900000000000002</v>
      </c>
      <c r="I1084" s="1">
        <v>0.66700000000000004</v>
      </c>
      <c r="J1084" s="1">
        <v>2</v>
      </c>
    </row>
    <row r="1085" spans="1:10" x14ac:dyDescent="0.2">
      <c r="A1085" s="1" t="s">
        <v>5891</v>
      </c>
      <c r="B1085" s="1" t="s">
        <v>5890</v>
      </c>
      <c r="C1085" s="1" t="s">
        <v>5889</v>
      </c>
      <c r="D1085" s="2" t="str">
        <f t="shared" si="16"/>
        <v>http://zfin.org/ZDB-GENE-120215-214</v>
      </c>
      <c r="E1085" s="1" t="s">
        <v>5888</v>
      </c>
      <c r="F1085" s="3">
        <v>3.7755175752483198E-5</v>
      </c>
      <c r="G1085" s="1">
        <v>-0.36288083252570202</v>
      </c>
      <c r="H1085" s="1">
        <v>0.26300000000000001</v>
      </c>
      <c r="I1085" s="1">
        <v>0.36699999999999999</v>
      </c>
      <c r="J1085" s="1">
        <v>2</v>
      </c>
    </row>
    <row r="1086" spans="1:10" x14ac:dyDescent="0.2">
      <c r="A1086" s="1" t="s">
        <v>5887</v>
      </c>
      <c r="B1086" s="1" t="s">
        <v>5886</v>
      </c>
      <c r="C1086" s="1" t="s">
        <v>5885</v>
      </c>
      <c r="D1086" s="2" t="str">
        <f t="shared" si="16"/>
        <v>http://zfin.org/ZDB-GENE-990415-259</v>
      </c>
      <c r="E1086" s="1" t="s">
        <v>5884</v>
      </c>
      <c r="F1086" s="3">
        <v>4.1868622575355201E-5</v>
      </c>
      <c r="G1086" s="1">
        <v>-0.36285096440178599</v>
      </c>
      <c r="H1086" s="1">
        <v>4.3999999999999997E-2</v>
      </c>
      <c r="I1086" s="1">
        <v>0.2</v>
      </c>
      <c r="J1086" s="1">
        <v>2</v>
      </c>
    </row>
    <row r="1087" spans="1:10" x14ac:dyDescent="0.2">
      <c r="A1087" s="1" t="s">
        <v>1549</v>
      </c>
      <c r="B1087" s="1" t="s">
        <v>1548</v>
      </c>
      <c r="C1087" s="1" t="s">
        <v>1547</v>
      </c>
      <c r="D1087" s="2" t="str">
        <f t="shared" si="16"/>
        <v>http://zfin.org/ZDB-GENE-990415-152</v>
      </c>
      <c r="E1087" s="1" t="s">
        <v>5883</v>
      </c>
      <c r="F1087" s="3">
        <v>1.40468867217475E-6</v>
      </c>
      <c r="G1087" s="1">
        <v>-0.36260590261887099</v>
      </c>
      <c r="H1087" s="1">
        <v>0.5</v>
      </c>
      <c r="I1087" s="1">
        <v>0.5</v>
      </c>
      <c r="J1087" s="1">
        <v>2</v>
      </c>
    </row>
    <row r="1088" spans="1:10" x14ac:dyDescent="0.2">
      <c r="A1088" s="1" t="s">
        <v>3213</v>
      </c>
      <c r="B1088" s="1" t="s">
        <v>3212</v>
      </c>
      <c r="C1088" s="1" t="s">
        <v>3211</v>
      </c>
      <c r="D1088" s="2" t="str">
        <f t="shared" si="16"/>
        <v>http://zfin.org/ZDB-GENE-040426-2745</v>
      </c>
      <c r="E1088" s="1" t="s">
        <v>5882</v>
      </c>
      <c r="F1088" s="3">
        <v>1.8940183012726001E-7</v>
      </c>
      <c r="G1088" s="1">
        <v>-0.36234025913526802</v>
      </c>
      <c r="H1088" s="1">
        <v>0.32500000000000001</v>
      </c>
      <c r="I1088" s="1">
        <v>0.36699999999999999</v>
      </c>
      <c r="J1088" s="1">
        <v>2</v>
      </c>
    </row>
    <row r="1089" spans="1:10" x14ac:dyDescent="0.2">
      <c r="A1089" s="1" t="s">
        <v>5881</v>
      </c>
      <c r="B1089" s="1" t="s">
        <v>5880</v>
      </c>
      <c r="C1089" s="1" t="s">
        <v>5879</v>
      </c>
      <c r="D1089" s="2" t="str">
        <f t="shared" si="16"/>
        <v>http://zfin.org/ZDB-GENE-040724-235</v>
      </c>
      <c r="E1089" s="1" t="s">
        <v>5878</v>
      </c>
      <c r="F1089" s="1">
        <v>2.4979965841942799E-3</v>
      </c>
      <c r="G1089" s="1">
        <v>-0.362057635754304</v>
      </c>
      <c r="H1089" s="1">
        <v>0.377</v>
      </c>
      <c r="I1089" s="1">
        <v>0.6</v>
      </c>
      <c r="J1089" s="1">
        <v>2</v>
      </c>
    </row>
    <row r="1090" spans="1:10" x14ac:dyDescent="0.2">
      <c r="A1090" s="1" t="s">
        <v>5877</v>
      </c>
      <c r="B1090" s="1" t="s">
        <v>5876</v>
      </c>
      <c r="C1090" s="1" t="s">
        <v>5875</v>
      </c>
      <c r="D1090" s="2" t="str">
        <f t="shared" ref="D1090:D1153" si="17">HYPERLINK(E1090)</f>
        <v>http://zfin.org/ZDB-GENE-011205-10</v>
      </c>
      <c r="E1090" s="1" t="s">
        <v>5874</v>
      </c>
      <c r="F1090" s="1">
        <v>1.0547134100935E-3</v>
      </c>
      <c r="G1090" s="1">
        <v>-0.362043959586963</v>
      </c>
      <c r="H1090" s="1">
        <v>0.96499999999999997</v>
      </c>
      <c r="I1090" s="1">
        <v>0.91700000000000004</v>
      </c>
      <c r="J1090" s="1">
        <v>2</v>
      </c>
    </row>
    <row r="1091" spans="1:10" x14ac:dyDescent="0.2">
      <c r="A1091" s="1" t="s">
        <v>5873</v>
      </c>
      <c r="B1091" s="1" t="s">
        <v>5872</v>
      </c>
      <c r="C1091" s="1" t="s">
        <v>5871</v>
      </c>
      <c r="D1091" s="2" t="str">
        <f t="shared" si="17"/>
        <v>http://zfin.org/ZDB-GENE-030131-2900</v>
      </c>
      <c r="E1091" s="1" t="s">
        <v>5870</v>
      </c>
      <c r="F1091" s="1">
        <v>9.0044429931635797E-4</v>
      </c>
      <c r="G1091" s="1">
        <v>-0.36192024494666902</v>
      </c>
      <c r="H1091" s="1">
        <v>0.27200000000000002</v>
      </c>
      <c r="I1091" s="1">
        <v>0.433</v>
      </c>
      <c r="J1091" s="1">
        <v>2</v>
      </c>
    </row>
    <row r="1092" spans="1:10" x14ac:dyDescent="0.2">
      <c r="A1092" s="1" t="s">
        <v>2264</v>
      </c>
      <c r="B1092" s="1" t="s">
        <v>2263</v>
      </c>
      <c r="C1092" s="1" t="s">
        <v>2262</v>
      </c>
      <c r="D1092" s="2" t="str">
        <f t="shared" si="17"/>
        <v>http://zfin.org/ZDB-GENE-030804-11</v>
      </c>
      <c r="E1092" s="1" t="s">
        <v>5869</v>
      </c>
      <c r="F1092" s="1">
        <v>1.5259184073829301E-2</v>
      </c>
      <c r="G1092" s="1">
        <v>-0.361821087534557</v>
      </c>
      <c r="H1092" s="1">
        <v>0.26300000000000001</v>
      </c>
      <c r="I1092" s="1">
        <v>0.433</v>
      </c>
      <c r="J1092" s="1">
        <v>2</v>
      </c>
    </row>
    <row r="1093" spans="1:10" x14ac:dyDescent="0.2">
      <c r="A1093" s="1" t="s">
        <v>5868</v>
      </c>
      <c r="B1093" s="1" t="s">
        <v>5867</v>
      </c>
      <c r="C1093" s="1" t="s">
        <v>5866</v>
      </c>
      <c r="D1093" s="2" t="str">
        <f t="shared" si="17"/>
        <v>http://zfin.org/ZDB-GENE-040426-1996</v>
      </c>
      <c r="E1093" s="1" t="s">
        <v>5865</v>
      </c>
      <c r="F1093" s="1">
        <v>1.17596954599651E-3</v>
      </c>
      <c r="G1093" s="1">
        <v>-0.36169772895133401</v>
      </c>
      <c r="H1093" s="1">
        <v>0.16700000000000001</v>
      </c>
      <c r="I1093" s="1">
        <v>0.35</v>
      </c>
      <c r="J1093" s="1">
        <v>2</v>
      </c>
    </row>
    <row r="1094" spans="1:10" x14ac:dyDescent="0.2">
      <c r="A1094" s="1" t="s">
        <v>406</v>
      </c>
      <c r="B1094" s="1" t="s">
        <v>405</v>
      </c>
      <c r="C1094" s="1" t="s">
        <v>404</v>
      </c>
      <c r="D1094" s="2" t="str">
        <f t="shared" si="17"/>
        <v>http://zfin.org/ZDB-GENE-041212-9</v>
      </c>
      <c r="E1094" s="1" t="s">
        <v>5864</v>
      </c>
      <c r="F1094" s="3">
        <v>2.0028071227829001E-8</v>
      </c>
      <c r="G1094" s="1">
        <v>-0.361610871498943</v>
      </c>
      <c r="H1094" s="1">
        <v>0.86</v>
      </c>
      <c r="I1094" s="1">
        <v>0.71699999999999997</v>
      </c>
      <c r="J1094" s="1">
        <v>2</v>
      </c>
    </row>
    <row r="1095" spans="1:10" x14ac:dyDescent="0.2">
      <c r="A1095" s="1" t="s">
        <v>5863</v>
      </c>
      <c r="B1095" s="1" t="s">
        <v>5862</v>
      </c>
      <c r="C1095" s="1" t="s">
        <v>5861</v>
      </c>
      <c r="D1095" s="2" t="str">
        <f t="shared" si="17"/>
        <v>http://zfin.org/ZDB-GENE-030616-615</v>
      </c>
      <c r="E1095" s="1" t="s">
        <v>5860</v>
      </c>
      <c r="F1095" s="1">
        <v>9.6379020523505504E-4</v>
      </c>
      <c r="G1095" s="1">
        <v>-0.36131017401877102</v>
      </c>
      <c r="H1095" s="1">
        <v>0.21099999999999999</v>
      </c>
      <c r="I1095" s="1">
        <v>0.317</v>
      </c>
      <c r="J1095" s="1">
        <v>2</v>
      </c>
    </row>
    <row r="1096" spans="1:10" x14ac:dyDescent="0.2">
      <c r="A1096" s="1" t="s">
        <v>5859</v>
      </c>
      <c r="B1096" s="1" t="s">
        <v>5858</v>
      </c>
      <c r="C1096" s="1" t="s">
        <v>5857</v>
      </c>
      <c r="D1096" s="2" t="str">
        <f t="shared" si="17"/>
        <v>http://zfin.org/ZDB-GENE-050419-206</v>
      </c>
      <c r="E1096" s="1" t="s">
        <v>5856</v>
      </c>
      <c r="F1096" s="3">
        <v>7.0883185624200898E-5</v>
      </c>
      <c r="G1096" s="1">
        <v>-0.36073983332209603</v>
      </c>
      <c r="H1096" s="1">
        <v>0.13200000000000001</v>
      </c>
      <c r="I1096" s="1">
        <v>0.23300000000000001</v>
      </c>
      <c r="J1096" s="1">
        <v>2</v>
      </c>
    </row>
    <row r="1097" spans="1:10" x14ac:dyDescent="0.2">
      <c r="A1097" s="1" t="s">
        <v>5855</v>
      </c>
      <c r="B1097" s="1" t="s">
        <v>5854</v>
      </c>
      <c r="C1097" s="1" t="s">
        <v>5853</v>
      </c>
      <c r="D1097" s="2" t="str">
        <f t="shared" si="17"/>
        <v>http://zfin.org/ZDB-GENE-040724-77</v>
      </c>
      <c r="E1097" s="1" t="s">
        <v>5852</v>
      </c>
      <c r="F1097" s="3">
        <v>1.5427908026402099E-7</v>
      </c>
      <c r="G1097" s="1">
        <v>-0.36024152666214998</v>
      </c>
      <c r="H1097" s="1">
        <v>0.13200000000000001</v>
      </c>
      <c r="I1097" s="1">
        <v>0.26700000000000002</v>
      </c>
      <c r="J1097" s="1">
        <v>2</v>
      </c>
    </row>
    <row r="1098" spans="1:10" x14ac:dyDescent="0.2">
      <c r="A1098" s="1" t="s">
        <v>5851</v>
      </c>
      <c r="B1098" s="1" t="s">
        <v>5850</v>
      </c>
      <c r="C1098" s="1" t="s">
        <v>5849</v>
      </c>
      <c r="D1098" s="2" t="str">
        <f t="shared" si="17"/>
        <v>http://zfin.org/ZDB-GENE-040718-79</v>
      </c>
      <c r="E1098" s="1" t="s">
        <v>5848</v>
      </c>
      <c r="F1098" s="1">
        <v>7.34869527720038E-4</v>
      </c>
      <c r="G1098" s="1">
        <v>-0.35834925217656799</v>
      </c>
      <c r="H1098" s="1">
        <v>4.3999999999999997E-2</v>
      </c>
      <c r="I1098" s="1">
        <v>0.2</v>
      </c>
      <c r="J1098" s="1">
        <v>2</v>
      </c>
    </row>
    <row r="1099" spans="1:10" x14ac:dyDescent="0.2">
      <c r="A1099" s="1" t="s">
        <v>5847</v>
      </c>
      <c r="B1099" s="1" t="s">
        <v>5846</v>
      </c>
      <c r="C1099" s="1" t="s">
        <v>5845</v>
      </c>
      <c r="D1099" s="2" t="str">
        <f t="shared" si="17"/>
        <v>http://zfin.org/ZDB-GENE-040426-703</v>
      </c>
      <c r="E1099" s="1" t="s">
        <v>5844</v>
      </c>
      <c r="F1099" s="1">
        <v>1.3708658495266101E-4</v>
      </c>
      <c r="G1099" s="1">
        <v>-0.35824201616243401</v>
      </c>
      <c r="H1099" s="1">
        <v>7.9000000000000001E-2</v>
      </c>
      <c r="I1099" s="1">
        <v>0.217</v>
      </c>
      <c r="J1099" s="1">
        <v>2</v>
      </c>
    </row>
    <row r="1100" spans="1:10" x14ac:dyDescent="0.2">
      <c r="A1100" s="1" t="s">
        <v>5843</v>
      </c>
      <c r="B1100" s="1" t="s">
        <v>5842</v>
      </c>
      <c r="C1100" s="1" t="s">
        <v>5841</v>
      </c>
      <c r="D1100" s="2" t="str">
        <f t="shared" si="17"/>
        <v>http://zfin.org/ZDB-GENE-041121-4</v>
      </c>
      <c r="E1100" s="1" t="s">
        <v>5840</v>
      </c>
      <c r="F1100" s="1">
        <v>1.71843279042821E-4</v>
      </c>
      <c r="G1100" s="1">
        <v>-0.35813214457556097</v>
      </c>
      <c r="H1100" s="1">
        <v>0.158</v>
      </c>
      <c r="I1100" s="1">
        <v>0.317</v>
      </c>
      <c r="J1100" s="1">
        <v>2</v>
      </c>
    </row>
    <row r="1101" spans="1:10" x14ac:dyDescent="0.2">
      <c r="A1101" s="1" t="s">
        <v>1191</v>
      </c>
      <c r="B1101" s="1" t="s">
        <v>1190</v>
      </c>
      <c r="C1101" s="1" t="s">
        <v>1189</v>
      </c>
      <c r="D1101" s="2" t="str">
        <f t="shared" si="17"/>
        <v>http://zfin.org/ZDB-GENE-980526-68</v>
      </c>
      <c r="E1101" s="1" t="s">
        <v>5839</v>
      </c>
      <c r="F1101" s="1">
        <v>1.24691768362828E-3</v>
      </c>
      <c r="G1101" s="1">
        <v>-0.35796774330961501</v>
      </c>
      <c r="H1101" s="1">
        <v>5.2999999999999999E-2</v>
      </c>
      <c r="I1101" s="1">
        <v>0.23300000000000001</v>
      </c>
      <c r="J1101" s="1">
        <v>2</v>
      </c>
    </row>
    <row r="1102" spans="1:10" x14ac:dyDescent="0.2">
      <c r="A1102" s="1" t="s">
        <v>5838</v>
      </c>
      <c r="B1102" s="1" t="s">
        <v>5837</v>
      </c>
      <c r="C1102" s="1" t="s">
        <v>5836</v>
      </c>
      <c r="D1102" s="2" t="str">
        <f t="shared" si="17"/>
        <v>http://zfin.org/ZDB-GENE-030131-417</v>
      </c>
      <c r="E1102" s="1" t="s">
        <v>5835</v>
      </c>
      <c r="F1102" s="1">
        <v>2.0056438308157201E-3</v>
      </c>
      <c r="G1102" s="1">
        <v>-0.35784564509827899</v>
      </c>
      <c r="H1102" s="1">
        <v>0.29799999999999999</v>
      </c>
      <c r="I1102" s="1">
        <v>0.38300000000000001</v>
      </c>
      <c r="J1102" s="1">
        <v>2</v>
      </c>
    </row>
    <row r="1103" spans="1:10" x14ac:dyDescent="0.2">
      <c r="A1103" s="1" t="s">
        <v>5834</v>
      </c>
      <c r="B1103" s="1" t="s">
        <v>5833</v>
      </c>
      <c r="C1103" s="1" t="s">
        <v>5832</v>
      </c>
      <c r="D1103" s="2" t="str">
        <f t="shared" si="17"/>
        <v>http://zfin.org/ZDB-GENE-060616-2</v>
      </c>
      <c r="E1103" s="1" t="s">
        <v>5831</v>
      </c>
      <c r="F1103" s="1">
        <v>4.8830994593100803E-4</v>
      </c>
      <c r="G1103" s="1">
        <v>-0.357724448579398</v>
      </c>
      <c r="H1103" s="1">
        <v>0.114</v>
      </c>
      <c r="I1103" s="1">
        <v>0.33300000000000002</v>
      </c>
      <c r="J1103" s="1">
        <v>2</v>
      </c>
    </row>
    <row r="1104" spans="1:10" x14ac:dyDescent="0.2">
      <c r="A1104" s="1" t="s">
        <v>5830</v>
      </c>
      <c r="B1104" s="1" t="s">
        <v>5829</v>
      </c>
      <c r="C1104" s="1" t="s">
        <v>5828</v>
      </c>
      <c r="D1104" s="2" t="str">
        <f t="shared" si="17"/>
        <v>http://zfin.org/ZDB-GENE-050417-34</v>
      </c>
      <c r="E1104" s="1" t="s">
        <v>5827</v>
      </c>
      <c r="F1104" s="3">
        <v>1.8118859938210201E-7</v>
      </c>
      <c r="G1104" s="1">
        <v>-0.35770851978469997</v>
      </c>
      <c r="H1104" s="1">
        <v>0.28899999999999998</v>
      </c>
      <c r="I1104" s="1">
        <v>0.36699999999999999</v>
      </c>
      <c r="J1104" s="1">
        <v>2</v>
      </c>
    </row>
    <row r="1105" spans="1:10" x14ac:dyDescent="0.2">
      <c r="A1105" s="1" t="s">
        <v>2010</v>
      </c>
      <c r="B1105" s="1" t="s">
        <v>2009</v>
      </c>
      <c r="C1105" s="1" t="s">
        <v>2008</v>
      </c>
      <c r="D1105" s="2" t="str">
        <f t="shared" si="17"/>
        <v>http://zfin.org/ZDB-GENE-030131-9134</v>
      </c>
      <c r="E1105" s="1" t="s">
        <v>5826</v>
      </c>
      <c r="F1105" s="3">
        <v>3.0766198529525498E-5</v>
      </c>
      <c r="G1105" s="1">
        <v>-0.35734641555408703</v>
      </c>
      <c r="H1105" s="1">
        <v>0.51800000000000002</v>
      </c>
      <c r="I1105" s="1">
        <v>0.6</v>
      </c>
      <c r="J1105" s="1">
        <v>2</v>
      </c>
    </row>
    <row r="1106" spans="1:10" x14ac:dyDescent="0.2">
      <c r="A1106" s="1" t="s">
        <v>5825</v>
      </c>
      <c r="B1106" s="1" t="s">
        <v>5824</v>
      </c>
      <c r="C1106" s="1" t="s">
        <v>5823</v>
      </c>
      <c r="D1106" s="2" t="str">
        <f t="shared" si="17"/>
        <v>http://zfin.org/ZDB-GENE-060519-3</v>
      </c>
      <c r="E1106" s="1" t="s">
        <v>5822</v>
      </c>
      <c r="F1106" s="3">
        <v>1.3347093516921799E-6</v>
      </c>
      <c r="G1106" s="1">
        <v>-0.35690375482688202</v>
      </c>
      <c r="H1106" s="1">
        <v>0.33300000000000002</v>
      </c>
      <c r="I1106" s="1">
        <v>0.433</v>
      </c>
      <c r="J1106" s="1">
        <v>2</v>
      </c>
    </row>
    <row r="1107" spans="1:10" x14ac:dyDescent="0.2">
      <c r="A1107" s="1" t="s">
        <v>5821</v>
      </c>
      <c r="B1107" s="1" t="s">
        <v>5820</v>
      </c>
      <c r="C1107" s="1" t="s">
        <v>5819</v>
      </c>
      <c r="D1107" s="2" t="str">
        <f t="shared" si="17"/>
        <v>http://zfin.org/ZDB-GENE-030131-3731</v>
      </c>
      <c r="E1107" s="1" t="s">
        <v>5818</v>
      </c>
      <c r="F1107" s="1">
        <v>1.40258734259415E-2</v>
      </c>
      <c r="G1107" s="1">
        <v>-0.35689950325738201</v>
      </c>
      <c r="H1107" s="1">
        <v>0.13200000000000001</v>
      </c>
      <c r="I1107" s="1">
        <v>0.26700000000000002</v>
      </c>
      <c r="J1107" s="1">
        <v>2</v>
      </c>
    </row>
    <row r="1108" spans="1:10" x14ac:dyDescent="0.2">
      <c r="A1108" s="1" t="s">
        <v>5817</v>
      </c>
      <c r="B1108" s="1" t="s">
        <v>5816</v>
      </c>
      <c r="C1108" s="1" t="s">
        <v>5815</v>
      </c>
      <c r="D1108" s="2" t="str">
        <f t="shared" si="17"/>
        <v>http://zfin.org/ZDB-GENE-030131-3951</v>
      </c>
      <c r="E1108" s="1" t="s">
        <v>5814</v>
      </c>
      <c r="F1108" s="3">
        <v>2.96659911994096E-6</v>
      </c>
      <c r="G1108" s="1">
        <v>-0.356816023876457</v>
      </c>
      <c r="H1108" s="1">
        <v>0.71099999999999997</v>
      </c>
      <c r="I1108" s="1">
        <v>0.6</v>
      </c>
      <c r="J1108" s="1">
        <v>2</v>
      </c>
    </row>
    <row r="1109" spans="1:10" x14ac:dyDescent="0.2">
      <c r="A1109" s="1" t="s">
        <v>5813</v>
      </c>
      <c r="B1109" s="1" t="s">
        <v>5812</v>
      </c>
      <c r="C1109" s="1" t="s">
        <v>5811</v>
      </c>
      <c r="D1109" s="2" t="str">
        <f t="shared" si="17"/>
        <v>http://zfin.org/ZDB-GENE-030131-8594</v>
      </c>
      <c r="E1109" s="1" t="s">
        <v>5810</v>
      </c>
      <c r="F1109" s="1">
        <v>7.0607410293194598E-3</v>
      </c>
      <c r="G1109" s="1">
        <v>-0.35625143392820002</v>
      </c>
      <c r="H1109" s="1">
        <v>0.16700000000000001</v>
      </c>
      <c r="I1109" s="1">
        <v>0.3</v>
      </c>
      <c r="J1109" s="1">
        <v>2</v>
      </c>
    </row>
    <row r="1110" spans="1:10" x14ac:dyDescent="0.2">
      <c r="A1110" s="1" t="s">
        <v>1117</v>
      </c>
      <c r="B1110" s="1" t="s">
        <v>1116</v>
      </c>
      <c r="C1110" s="1" t="s">
        <v>1115</v>
      </c>
      <c r="D1110" s="2" t="str">
        <f t="shared" si="17"/>
        <v>http://zfin.org/ZDB-GENE-130625-1</v>
      </c>
      <c r="E1110" s="1" t="s">
        <v>5809</v>
      </c>
      <c r="F1110" s="1">
        <v>5.3012638828594302E-4</v>
      </c>
      <c r="G1110" s="1">
        <v>-0.35578364647386401</v>
      </c>
      <c r="H1110" s="1">
        <v>0.105</v>
      </c>
      <c r="I1110" s="1">
        <v>0.217</v>
      </c>
      <c r="J1110" s="1">
        <v>2</v>
      </c>
    </row>
    <row r="1111" spans="1:10" x14ac:dyDescent="0.2">
      <c r="A1111" s="1" t="s">
        <v>5808</v>
      </c>
      <c r="B1111" s="1" t="s">
        <v>5807</v>
      </c>
      <c r="C1111" s="1" t="s">
        <v>5806</v>
      </c>
      <c r="D1111" s="2" t="str">
        <f t="shared" si="17"/>
        <v>http://zfin.org/ZDB-GENE-030903-5</v>
      </c>
      <c r="E1111" s="1" t="s">
        <v>5805</v>
      </c>
      <c r="F1111" s="1">
        <v>2.7856641177243202E-4</v>
      </c>
      <c r="G1111" s="1">
        <v>-0.35577352817073499</v>
      </c>
      <c r="H1111" s="1">
        <v>8.9999999999999993E-3</v>
      </c>
      <c r="I1111" s="1">
        <v>0.2</v>
      </c>
      <c r="J1111" s="1">
        <v>2</v>
      </c>
    </row>
    <row r="1112" spans="1:10" x14ac:dyDescent="0.2">
      <c r="A1112" s="1" t="s">
        <v>5804</v>
      </c>
      <c r="B1112" s="1" t="s">
        <v>5803</v>
      </c>
      <c r="C1112" s="1" t="s">
        <v>5802</v>
      </c>
      <c r="D1112" s="2" t="str">
        <f t="shared" si="17"/>
        <v>http://zfin.org/ZDB-GENE-061103-529</v>
      </c>
      <c r="E1112" s="1" t="s">
        <v>5801</v>
      </c>
      <c r="F1112" s="3">
        <v>2.5815800767812501E-5</v>
      </c>
      <c r="G1112" s="1">
        <v>-0.35565937761408201</v>
      </c>
      <c r="H1112" s="1">
        <v>0.193</v>
      </c>
      <c r="I1112" s="1">
        <v>0.28299999999999997</v>
      </c>
      <c r="J1112" s="1">
        <v>2</v>
      </c>
    </row>
    <row r="1113" spans="1:10" x14ac:dyDescent="0.2">
      <c r="A1113" s="1" t="s">
        <v>5800</v>
      </c>
      <c r="B1113" s="1" t="s">
        <v>5799</v>
      </c>
      <c r="C1113" s="1" t="s">
        <v>5798</v>
      </c>
      <c r="D1113" s="2" t="str">
        <f t="shared" si="17"/>
        <v>http://zfin.org/ZDB-GENE-041212-13</v>
      </c>
      <c r="E1113" s="1" t="s">
        <v>5797</v>
      </c>
      <c r="F1113" s="3">
        <v>1.6489633897807401E-5</v>
      </c>
      <c r="G1113" s="1">
        <v>-0.355472021599191</v>
      </c>
      <c r="H1113" s="1">
        <v>0</v>
      </c>
      <c r="I1113" s="1">
        <v>0.183</v>
      </c>
      <c r="J1113" s="1">
        <v>2</v>
      </c>
    </row>
    <row r="1114" spans="1:10" x14ac:dyDescent="0.2">
      <c r="A1114" s="1" t="s">
        <v>1440</v>
      </c>
      <c r="B1114" s="1" t="s">
        <v>1439</v>
      </c>
      <c r="C1114" s="1" t="s">
        <v>1438</v>
      </c>
      <c r="D1114" s="2" t="str">
        <f t="shared" si="17"/>
        <v>http://zfin.org/ZDB-GENE-030131-9744</v>
      </c>
      <c r="E1114" s="1" t="s">
        <v>5796</v>
      </c>
      <c r="F1114" s="3">
        <v>2.9364578026798001E-8</v>
      </c>
      <c r="G1114" s="1">
        <v>-0.355342823965907</v>
      </c>
      <c r="H1114" s="1">
        <v>1</v>
      </c>
      <c r="I1114" s="1">
        <v>0.98299999999999998</v>
      </c>
      <c r="J1114" s="1">
        <v>2</v>
      </c>
    </row>
    <row r="1115" spans="1:10" x14ac:dyDescent="0.2">
      <c r="A1115" s="1" t="s">
        <v>5795</v>
      </c>
      <c r="B1115" s="1" t="s">
        <v>5794</v>
      </c>
      <c r="C1115" s="1" t="s">
        <v>5793</v>
      </c>
      <c r="D1115" s="2" t="str">
        <f t="shared" si="17"/>
        <v>http://zfin.org/ZDB-GENE-030616-161</v>
      </c>
      <c r="E1115" s="1" t="s">
        <v>5792</v>
      </c>
      <c r="F1115" s="3">
        <v>1.45764199147285E-5</v>
      </c>
      <c r="G1115" s="1">
        <v>-0.35497139920736198</v>
      </c>
      <c r="H1115" s="1">
        <v>0.16700000000000001</v>
      </c>
      <c r="I1115" s="1">
        <v>0.3</v>
      </c>
      <c r="J1115" s="1">
        <v>2</v>
      </c>
    </row>
    <row r="1116" spans="1:10" x14ac:dyDescent="0.2">
      <c r="A1116" s="1" t="s">
        <v>5791</v>
      </c>
      <c r="B1116" s="1" t="s">
        <v>5790</v>
      </c>
      <c r="C1116" s="1" t="s">
        <v>5789</v>
      </c>
      <c r="D1116" s="2" t="str">
        <f t="shared" si="17"/>
        <v>http://zfin.org/ZDB-GENE-061110-52</v>
      </c>
      <c r="E1116" s="1" t="s">
        <v>5788</v>
      </c>
      <c r="F1116" s="1">
        <v>1.92348017268478E-2</v>
      </c>
      <c r="G1116" s="1">
        <v>-0.35475159043325899</v>
      </c>
      <c r="H1116" s="1">
        <v>0.13200000000000001</v>
      </c>
      <c r="I1116" s="1">
        <v>0.25</v>
      </c>
      <c r="J1116" s="1">
        <v>2</v>
      </c>
    </row>
    <row r="1117" spans="1:10" x14ac:dyDescent="0.2">
      <c r="A1117" s="1" t="s">
        <v>5787</v>
      </c>
      <c r="B1117" s="1" t="s">
        <v>5786</v>
      </c>
      <c r="C1117" s="1" t="s">
        <v>5785</v>
      </c>
      <c r="D1117" s="2" t="str">
        <f t="shared" si="17"/>
        <v>http://zfin.org/ZDB-GENE-041114-195</v>
      </c>
      <c r="E1117" s="1" t="s">
        <v>5784</v>
      </c>
      <c r="F1117" s="3">
        <v>8.2718209549486504E-6</v>
      </c>
      <c r="G1117" s="1">
        <v>-0.35402902435855199</v>
      </c>
      <c r="H1117" s="1">
        <v>8.7999999999999995E-2</v>
      </c>
      <c r="I1117" s="1">
        <v>0.2</v>
      </c>
      <c r="J1117" s="1">
        <v>2</v>
      </c>
    </row>
    <row r="1118" spans="1:10" x14ac:dyDescent="0.2">
      <c r="A1118" s="1" t="s">
        <v>1759</v>
      </c>
      <c r="B1118" s="1" t="s">
        <v>1758</v>
      </c>
      <c r="C1118" s="1" t="s">
        <v>1757</v>
      </c>
      <c r="D1118" s="2" t="str">
        <f t="shared" si="17"/>
        <v>http://zfin.org/ZDB-GENE-030131-2165</v>
      </c>
      <c r="E1118" s="1" t="s">
        <v>5783</v>
      </c>
      <c r="F1118" s="1">
        <v>4.0785518102182203E-3</v>
      </c>
      <c r="G1118" s="1">
        <v>-0.35385175183187501</v>
      </c>
      <c r="H1118" s="1">
        <v>8.7999999999999995E-2</v>
      </c>
      <c r="I1118" s="1">
        <v>0.25</v>
      </c>
      <c r="J1118" s="1">
        <v>2</v>
      </c>
    </row>
    <row r="1119" spans="1:10" x14ac:dyDescent="0.2">
      <c r="A1119" s="1" t="s">
        <v>5782</v>
      </c>
      <c r="B1119" s="1" t="s">
        <v>5781</v>
      </c>
      <c r="C1119" s="1" t="s">
        <v>5780</v>
      </c>
      <c r="D1119" s="2" t="str">
        <f t="shared" si="17"/>
        <v>http://zfin.org/ZDB-GENE-061013-144</v>
      </c>
      <c r="E1119" s="1" t="s">
        <v>5779</v>
      </c>
      <c r="F1119" s="3">
        <v>3.36020540332762E-5</v>
      </c>
      <c r="G1119" s="1">
        <v>-0.35352731239125801</v>
      </c>
      <c r="H1119" s="1">
        <v>7.9000000000000001E-2</v>
      </c>
      <c r="I1119" s="1">
        <v>0.3</v>
      </c>
      <c r="J1119" s="1">
        <v>2</v>
      </c>
    </row>
    <row r="1120" spans="1:10" x14ac:dyDescent="0.2">
      <c r="A1120" s="1" t="s">
        <v>5778</v>
      </c>
      <c r="B1120" s="1" t="s">
        <v>5777</v>
      </c>
      <c r="C1120" s="1" t="s">
        <v>5776</v>
      </c>
      <c r="D1120" s="2" t="str">
        <f t="shared" si="17"/>
        <v>http://zfin.org/ZDB-GENE-040801-225</v>
      </c>
      <c r="E1120" s="1" t="s">
        <v>5775</v>
      </c>
      <c r="F1120" s="3">
        <v>2.73944665202217E-5</v>
      </c>
      <c r="G1120" s="1">
        <v>-0.35335673626436598</v>
      </c>
      <c r="H1120" s="1">
        <v>8.7999999999999995E-2</v>
      </c>
      <c r="I1120" s="1">
        <v>0.25</v>
      </c>
      <c r="J1120" s="1">
        <v>2</v>
      </c>
    </row>
    <row r="1121" spans="1:10" x14ac:dyDescent="0.2">
      <c r="A1121" s="1" t="s">
        <v>2827</v>
      </c>
      <c r="B1121" s="1" t="s">
        <v>2826</v>
      </c>
      <c r="C1121" s="1" t="s">
        <v>2825</v>
      </c>
      <c r="D1121" s="2" t="str">
        <f t="shared" si="17"/>
        <v>http://zfin.org/ZDB-GENE-050320-36</v>
      </c>
      <c r="E1121" s="1" t="s">
        <v>5774</v>
      </c>
      <c r="F1121" s="1">
        <v>0.13923672823605501</v>
      </c>
      <c r="G1121" s="1">
        <v>-0.35322768641931701</v>
      </c>
      <c r="H1121" s="1">
        <v>0.5</v>
      </c>
      <c r="I1121" s="1">
        <v>0.56699999999999995</v>
      </c>
      <c r="J1121" s="1">
        <v>2</v>
      </c>
    </row>
    <row r="1122" spans="1:10" x14ac:dyDescent="0.2">
      <c r="A1122" s="1" t="s">
        <v>3160</v>
      </c>
      <c r="B1122" s="1" t="s">
        <v>5773</v>
      </c>
      <c r="C1122" s="1" t="s">
        <v>3158</v>
      </c>
      <c r="D1122" s="2" t="str">
        <f t="shared" si="17"/>
        <v>http://zfin.org/ZDB-GENE-040426-1060</v>
      </c>
      <c r="E1122" s="1" t="s">
        <v>5772</v>
      </c>
      <c r="F1122" s="3">
        <v>3.61869040381842E-6</v>
      </c>
      <c r="G1122" s="1">
        <v>-0.35307571985892899</v>
      </c>
      <c r="H1122" s="1">
        <v>0.56100000000000005</v>
      </c>
      <c r="I1122" s="1">
        <v>0.61699999999999999</v>
      </c>
      <c r="J1122" s="1">
        <v>2</v>
      </c>
    </row>
    <row r="1123" spans="1:10" x14ac:dyDescent="0.2">
      <c r="A1123" s="1" t="s">
        <v>5771</v>
      </c>
      <c r="B1123" s="1" t="s">
        <v>5770</v>
      </c>
      <c r="C1123" s="1" t="s">
        <v>5769</v>
      </c>
      <c r="D1123" s="2" t="str">
        <f t="shared" si="17"/>
        <v>http://zfin.org/ZDB-GENE-070822-23</v>
      </c>
      <c r="E1123" s="1" t="s">
        <v>5768</v>
      </c>
      <c r="F1123" s="3">
        <v>8.2616803870817902E-8</v>
      </c>
      <c r="G1123" s="1">
        <v>-0.35270813565453102</v>
      </c>
      <c r="H1123" s="1">
        <v>0.54400000000000004</v>
      </c>
      <c r="I1123" s="1">
        <v>0.56699999999999995</v>
      </c>
      <c r="J1123" s="1">
        <v>2</v>
      </c>
    </row>
    <row r="1124" spans="1:10" x14ac:dyDescent="0.2">
      <c r="A1124" s="1" t="s">
        <v>5767</v>
      </c>
      <c r="B1124" s="1" t="s">
        <v>5766</v>
      </c>
      <c r="C1124" s="1" t="s">
        <v>5765</v>
      </c>
      <c r="D1124" s="2" t="str">
        <f t="shared" si="17"/>
        <v>http://zfin.org/ZDB-GENE-060929-604</v>
      </c>
      <c r="E1124" s="1" t="s">
        <v>5764</v>
      </c>
      <c r="F1124" s="1">
        <v>1.71009423982771E-2</v>
      </c>
      <c r="G1124" s="1">
        <v>-0.35249325560080802</v>
      </c>
      <c r="H1124" s="1">
        <v>0.17499999999999999</v>
      </c>
      <c r="I1124" s="1">
        <v>0.35</v>
      </c>
      <c r="J1124" s="1">
        <v>2</v>
      </c>
    </row>
    <row r="1125" spans="1:10" x14ac:dyDescent="0.2">
      <c r="A1125" s="1" t="s">
        <v>5763</v>
      </c>
      <c r="B1125" s="1" t="s">
        <v>5762</v>
      </c>
      <c r="C1125" s="1" t="s">
        <v>5761</v>
      </c>
      <c r="D1125" s="2" t="str">
        <f t="shared" si="17"/>
        <v>http://zfin.org/ZDB-GENE-040426-1472</v>
      </c>
      <c r="E1125" s="1" t="s">
        <v>5760</v>
      </c>
      <c r="F1125" s="3">
        <v>1.3418575002885401E-6</v>
      </c>
      <c r="G1125" s="1">
        <v>-0.35240179250254799</v>
      </c>
      <c r="H1125" s="1">
        <v>0.114</v>
      </c>
      <c r="I1125" s="1">
        <v>0.28299999999999997</v>
      </c>
      <c r="J1125" s="1">
        <v>2</v>
      </c>
    </row>
    <row r="1126" spans="1:10" x14ac:dyDescent="0.2">
      <c r="A1126" s="1" t="s">
        <v>5759</v>
      </c>
      <c r="B1126" s="1" t="s">
        <v>5758</v>
      </c>
      <c r="C1126" s="1" t="s">
        <v>5757</v>
      </c>
      <c r="D1126" s="2" t="str">
        <f t="shared" si="17"/>
        <v>http://zfin.org/ZDB-GENE-080514-3</v>
      </c>
      <c r="E1126" s="1" t="s">
        <v>5756</v>
      </c>
      <c r="F1126" s="1">
        <v>1.22829664759397E-2</v>
      </c>
      <c r="G1126" s="1">
        <v>-0.35238069337905398</v>
      </c>
      <c r="H1126" s="1">
        <v>0.193</v>
      </c>
      <c r="I1126" s="1">
        <v>0.3</v>
      </c>
      <c r="J1126" s="1">
        <v>2</v>
      </c>
    </row>
    <row r="1127" spans="1:10" x14ac:dyDescent="0.2">
      <c r="A1127" s="1" t="s">
        <v>5755</v>
      </c>
      <c r="B1127" s="1" t="s">
        <v>5754</v>
      </c>
      <c r="C1127" s="1" t="s">
        <v>5753</v>
      </c>
      <c r="D1127" s="2" t="str">
        <f t="shared" si="17"/>
        <v>http://zfin.org/ZDB-GENE-030131-274</v>
      </c>
      <c r="E1127" s="1" t="s">
        <v>5752</v>
      </c>
      <c r="F1127" s="1">
        <v>5.5056128399426797E-3</v>
      </c>
      <c r="G1127" s="1">
        <v>-0.35237738952400499</v>
      </c>
      <c r="H1127" s="1">
        <v>0.22800000000000001</v>
      </c>
      <c r="I1127" s="1">
        <v>0.35</v>
      </c>
      <c r="J1127" s="1">
        <v>2</v>
      </c>
    </row>
    <row r="1128" spans="1:10" x14ac:dyDescent="0.2">
      <c r="A1128" s="1" t="s">
        <v>5751</v>
      </c>
      <c r="B1128" s="1" t="s">
        <v>5750</v>
      </c>
      <c r="D1128" s="2" t="str">
        <f t="shared" si="17"/>
        <v>http://zfin.org/</v>
      </c>
      <c r="E1128" s="1" t="s">
        <v>4625</v>
      </c>
      <c r="F1128" s="1">
        <v>1.1267481526655901E-2</v>
      </c>
      <c r="G1128" s="1">
        <v>-0.35209502719798702</v>
      </c>
      <c r="H1128" s="1">
        <v>9.6000000000000002E-2</v>
      </c>
      <c r="I1128" s="1">
        <v>0.26700000000000002</v>
      </c>
      <c r="J1128" s="1">
        <v>2</v>
      </c>
    </row>
    <row r="1129" spans="1:10" x14ac:dyDescent="0.2">
      <c r="A1129" s="1" t="s">
        <v>5749</v>
      </c>
      <c r="B1129" s="1" t="s">
        <v>5748</v>
      </c>
      <c r="C1129" s="1" t="s">
        <v>5747</v>
      </c>
      <c r="D1129" s="2" t="str">
        <f t="shared" si="17"/>
        <v>http://zfin.org/ZDB-GENE-041114-82</v>
      </c>
      <c r="E1129" s="1" t="s">
        <v>5746</v>
      </c>
      <c r="F1129" s="1">
        <v>4.3127768810189798E-4</v>
      </c>
      <c r="G1129" s="1">
        <v>-0.35206146443292802</v>
      </c>
      <c r="H1129" s="1">
        <v>0.158</v>
      </c>
      <c r="I1129" s="1">
        <v>0.26700000000000002</v>
      </c>
      <c r="J1129" s="1">
        <v>2</v>
      </c>
    </row>
    <row r="1130" spans="1:10" x14ac:dyDescent="0.2">
      <c r="A1130" s="1" t="s">
        <v>3372</v>
      </c>
      <c r="B1130" s="1" t="s">
        <v>3371</v>
      </c>
      <c r="C1130" s="1" t="s">
        <v>3370</v>
      </c>
      <c r="D1130" s="2" t="str">
        <f t="shared" si="17"/>
        <v>http://zfin.org/ZDB-GENE-030131-719</v>
      </c>
      <c r="E1130" s="1" t="s">
        <v>5745</v>
      </c>
      <c r="F1130" s="1">
        <v>1.3460016209173799E-3</v>
      </c>
      <c r="G1130" s="1">
        <v>-0.35147160128997401</v>
      </c>
      <c r="H1130" s="1">
        <v>0.316</v>
      </c>
      <c r="I1130" s="1">
        <v>0.433</v>
      </c>
      <c r="J1130" s="1">
        <v>2</v>
      </c>
    </row>
    <row r="1131" spans="1:10" x14ac:dyDescent="0.2">
      <c r="A1131" s="1" t="s">
        <v>3561</v>
      </c>
      <c r="B1131" s="1" t="s">
        <v>3560</v>
      </c>
      <c r="C1131" s="1" t="s">
        <v>3559</v>
      </c>
      <c r="D1131" s="2" t="str">
        <f t="shared" si="17"/>
        <v>http://zfin.org/ZDB-GENE-030131-6583</v>
      </c>
      <c r="E1131" s="1" t="s">
        <v>5744</v>
      </c>
      <c r="F1131" s="1">
        <v>2.01718515877391E-4</v>
      </c>
      <c r="G1131" s="1">
        <v>-0.351393865494458</v>
      </c>
      <c r="H1131" s="1">
        <v>0.79800000000000004</v>
      </c>
      <c r="I1131" s="1">
        <v>0.85</v>
      </c>
      <c r="J1131" s="1">
        <v>2</v>
      </c>
    </row>
    <row r="1132" spans="1:10" x14ac:dyDescent="0.2">
      <c r="A1132" s="1" t="s">
        <v>5743</v>
      </c>
      <c r="B1132" s="1" t="s">
        <v>5742</v>
      </c>
      <c r="C1132" s="1" t="s">
        <v>5741</v>
      </c>
      <c r="D1132" s="2" t="str">
        <f t="shared" si="17"/>
        <v>http://zfin.org/ZDB-GENE-011205-8</v>
      </c>
      <c r="E1132" s="1" t="s">
        <v>5740</v>
      </c>
      <c r="F1132" s="1">
        <v>2.2303659256495698E-3</v>
      </c>
      <c r="G1132" s="1">
        <v>-0.35131852742502201</v>
      </c>
      <c r="H1132" s="1">
        <v>0.98199999999999998</v>
      </c>
      <c r="I1132" s="1">
        <v>1</v>
      </c>
      <c r="J1132" s="1">
        <v>2</v>
      </c>
    </row>
    <row r="1133" spans="1:10" x14ac:dyDescent="0.2">
      <c r="A1133" s="1" t="s">
        <v>5739</v>
      </c>
      <c r="B1133" s="1" t="s">
        <v>5738</v>
      </c>
      <c r="C1133" s="1" t="s">
        <v>5737</v>
      </c>
      <c r="D1133" s="2" t="str">
        <f t="shared" si="17"/>
        <v>http://zfin.org/ZDB-GENE-040426-1776</v>
      </c>
      <c r="E1133" s="1" t="s">
        <v>5736</v>
      </c>
      <c r="F1133" s="3">
        <v>9.2012580109749106E-6</v>
      </c>
      <c r="G1133" s="1">
        <v>-0.35049724828691597</v>
      </c>
      <c r="H1133" s="1">
        <v>0.23699999999999999</v>
      </c>
      <c r="I1133" s="1">
        <v>0.33300000000000002</v>
      </c>
      <c r="J1133" s="1">
        <v>2</v>
      </c>
    </row>
    <row r="1134" spans="1:10" x14ac:dyDescent="0.2">
      <c r="A1134" s="1" t="s">
        <v>5735</v>
      </c>
      <c r="B1134" s="1" t="s">
        <v>5734</v>
      </c>
      <c r="C1134" s="1" t="s">
        <v>5733</v>
      </c>
      <c r="D1134" s="2" t="str">
        <f t="shared" si="17"/>
        <v>http://zfin.org/ZDB-GENE-040426-2405</v>
      </c>
      <c r="E1134" s="1" t="s">
        <v>5732</v>
      </c>
      <c r="F1134" s="3">
        <v>1.6735859904383799E-6</v>
      </c>
      <c r="G1134" s="1">
        <v>-0.35033848843417398</v>
      </c>
      <c r="H1134" s="1">
        <v>0.65800000000000003</v>
      </c>
      <c r="I1134" s="1">
        <v>0.56699999999999995</v>
      </c>
      <c r="J1134" s="1">
        <v>2</v>
      </c>
    </row>
    <row r="1135" spans="1:10" x14ac:dyDescent="0.2">
      <c r="A1135" s="1" t="s">
        <v>1079</v>
      </c>
      <c r="B1135" s="1" t="s">
        <v>5731</v>
      </c>
      <c r="C1135" s="1" t="s">
        <v>1077</v>
      </c>
      <c r="D1135" s="2" t="str">
        <f t="shared" si="17"/>
        <v>http://zfin.org/ZDB-GENE-040801-35</v>
      </c>
      <c r="E1135" s="1" t="s">
        <v>5730</v>
      </c>
      <c r="F1135" s="1">
        <v>2.8484813807585501E-3</v>
      </c>
      <c r="G1135" s="1">
        <v>-0.34881911359740198</v>
      </c>
      <c r="H1135" s="1">
        <v>0.246</v>
      </c>
      <c r="I1135" s="1">
        <v>0.36699999999999999</v>
      </c>
      <c r="J1135" s="1">
        <v>2</v>
      </c>
    </row>
    <row r="1136" spans="1:10" x14ac:dyDescent="0.2">
      <c r="A1136" s="1" t="s">
        <v>5729</v>
      </c>
      <c r="B1136" s="1" t="s">
        <v>5728</v>
      </c>
      <c r="C1136" s="1" t="s">
        <v>5727</v>
      </c>
      <c r="D1136" s="2" t="str">
        <f t="shared" si="17"/>
        <v>http://zfin.org/ZDB-GENE-040426-2104</v>
      </c>
      <c r="E1136" s="1" t="s">
        <v>5726</v>
      </c>
      <c r="F1136" s="3">
        <v>9.1055798867080195E-5</v>
      </c>
      <c r="G1136" s="1">
        <v>-0.34796952313912699</v>
      </c>
      <c r="H1136" s="1">
        <v>0.14899999999999999</v>
      </c>
      <c r="I1136" s="1">
        <v>0.317</v>
      </c>
      <c r="J1136" s="1">
        <v>2</v>
      </c>
    </row>
    <row r="1137" spans="1:10" x14ac:dyDescent="0.2">
      <c r="A1137" s="1" t="s">
        <v>5725</v>
      </c>
      <c r="B1137" s="1" t="s">
        <v>5724</v>
      </c>
      <c r="C1137" s="1" t="s">
        <v>5723</v>
      </c>
      <c r="D1137" s="2" t="str">
        <f t="shared" si="17"/>
        <v>http://zfin.org/ZDB-GENE-081022-200</v>
      </c>
      <c r="E1137" s="1" t="s">
        <v>5722</v>
      </c>
      <c r="F1137" s="1">
        <v>3.2283241557577E-3</v>
      </c>
      <c r="G1137" s="1">
        <v>-0.347696855813665</v>
      </c>
      <c r="H1137" s="1">
        <v>5.2999999999999999E-2</v>
      </c>
      <c r="I1137" s="1">
        <v>0.15</v>
      </c>
      <c r="J1137" s="1">
        <v>2</v>
      </c>
    </row>
    <row r="1138" spans="1:10" x14ac:dyDescent="0.2">
      <c r="A1138" s="1" t="s">
        <v>4244</v>
      </c>
      <c r="B1138" s="1" t="s">
        <v>4243</v>
      </c>
      <c r="C1138" s="1" t="s">
        <v>4242</v>
      </c>
      <c r="D1138" s="2" t="str">
        <f t="shared" si="17"/>
        <v>http://zfin.org/ZDB-GENE-030131-1361</v>
      </c>
      <c r="E1138" s="1" t="s">
        <v>5721</v>
      </c>
      <c r="F1138" s="1">
        <v>1.6092089348766599E-2</v>
      </c>
      <c r="G1138" s="1">
        <v>-0.34690393292245902</v>
      </c>
      <c r="H1138" s="1">
        <v>8.7999999999999995E-2</v>
      </c>
      <c r="I1138" s="1">
        <v>0.25</v>
      </c>
      <c r="J1138" s="1">
        <v>2</v>
      </c>
    </row>
    <row r="1139" spans="1:10" x14ac:dyDescent="0.2">
      <c r="A1139" s="1" t="s">
        <v>3513</v>
      </c>
      <c r="B1139" s="1" t="s">
        <v>3512</v>
      </c>
      <c r="C1139" s="1" t="s">
        <v>3511</v>
      </c>
      <c r="D1139" s="2" t="str">
        <f t="shared" si="17"/>
        <v>http://zfin.org/ZDB-GENE-051030-93</v>
      </c>
      <c r="E1139" s="1" t="s">
        <v>5720</v>
      </c>
      <c r="F1139" s="3">
        <v>1.33651679148434E-5</v>
      </c>
      <c r="G1139" s="1">
        <v>-0.34669998899465998</v>
      </c>
      <c r="H1139" s="1">
        <v>0.86</v>
      </c>
      <c r="I1139" s="1">
        <v>0.81699999999999995</v>
      </c>
      <c r="J1139" s="1">
        <v>2</v>
      </c>
    </row>
    <row r="1140" spans="1:10" x14ac:dyDescent="0.2">
      <c r="A1140" s="1" t="s">
        <v>5719</v>
      </c>
      <c r="B1140" s="1" t="s">
        <v>5718</v>
      </c>
      <c r="C1140" s="1" t="s">
        <v>5717</v>
      </c>
      <c r="D1140" s="2" t="str">
        <f t="shared" si="17"/>
        <v>http://zfin.org/ZDB-GENE-030131-867</v>
      </c>
      <c r="E1140" s="1" t="s">
        <v>5716</v>
      </c>
      <c r="F1140" s="1">
        <v>2.4770812151463598E-3</v>
      </c>
      <c r="G1140" s="1">
        <v>-0.34634721860297002</v>
      </c>
      <c r="H1140" s="1">
        <v>0.246</v>
      </c>
      <c r="I1140" s="1">
        <v>0.38300000000000001</v>
      </c>
      <c r="J1140" s="1">
        <v>2</v>
      </c>
    </row>
    <row r="1141" spans="1:10" x14ac:dyDescent="0.2">
      <c r="A1141" s="1" t="s">
        <v>2804</v>
      </c>
      <c r="B1141" s="1" t="s">
        <v>2803</v>
      </c>
      <c r="C1141" s="1" t="s">
        <v>2802</v>
      </c>
      <c r="D1141" s="2" t="str">
        <f t="shared" si="17"/>
        <v>http://zfin.org/ZDB-GENE-030715-1</v>
      </c>
      <c r="E1141" s="1" t="s">
        <v>5715</v>
      </c>
      <c r="F1141" s="1">
        <v>5.6321210326871595E-4</v>
      </c>
      <c r="G1141" s="1">
        <v>-0.34632107768994103</v>
      </c>
      <c r="H1141" s="1">
        <v>0.5</v>
      </c>
      <c r="I1141" s="1">
        <v>0.46700000000000003</v>
      </c>
      <c r="J1141" s="1">
        <v>2</v>
      </c>
    </row>
    <row r="1142" spans="1:10" x14ac:dyDescent="0.2">
      <c r="A1142" s="1" t="s">
        <v>2257</v>
      </c>
      <c r="B1142" s="1" t="s">
        <v>2256</v>
      </c>
      <c r="C1142" s="1" t="s">
        <v>2255</v>
      </c>
      <c r="D1142" s="2" t="str">
        <f t="shared" si="17"/>
        <v>http://zfin.org/ZDB-GENE-990415-25</v>
      </c>
      <c r="E1142" s="1" t="s">
        <v>5714</v>
      </c>
      <c r="F1142" s="1">
        <v>1.86214344466443E-3</v>
      </c>
      <c r="G1142" s="1">
        <v>-0.345953955471275</v>
      </c>
      <c r="H1142" s="1">
        <v>3.5000000000000003E-2</v>
      </c>
      <c r="I1142" s="1">
        <v>0.11700000000000001</v>
      </c>
      <c r="J1142" s="1">
        <v>2</v>
      </c>
    </row>
    <row r="1143" spans="1:10" x14ac:dyDescent="0.2">
      <c r="A1143" s="1" t="s">
        <v>3558</v>
      </c>
      <c r="B1143" s="1" t="s">
        <v>3557</v>
      </c>
      <c r="C1143" s="1" t="s">
        <v>3556</v>
      </c>
      <c r="D1143" s="2" t="str">
        <f t="shared" si="17"/>
        <v>http://zfin.org/ZDB-GENE-120312-1</v>
      </c>
      <c r="E1143" s="1" t="s">
        <v>5713</v>
      </c>
      <c r="F1143" s="3">
        <v>4.9589609610686099E-8</v>
      </c>
      <c r="G1143" s="1">
        <v>-0.34592251891272902</v>
      </c>
      <c r="H1143" s="1">
        <v>0.71099999999999997</v>
      </c>
      <c r="I1143" s="1">
        <v>0.68300000000000005</v>
      </c>
      <c r="J1143" s="1">
        <v>2</v>
      </c>
    </row>
    <row r="1144" spans="1:10" x14ac:dyDescent="0.2">
      <c r="A1144" s="1" t="s">
        <v>5712</v>
      </c>
      <c r="B1144" s="1" t="s">
        <v>5711</v>
      </c>
      <c r="C1144" s="1" t="s">
        <v>5710</v>
      </c>
      <c r="D1144" s="2" t="str">
        <f t="shared" si="17"/>
        <v>http://zfin.org/ZDB-GENE-041014-143</v>
      </c>
      <c r="E1144" s="1" t="s">
        <v>5709</v>
      </c>
      <c r="F1144" s="1">
        <v>3.0236203931649401E-3</v>
      </c>
      <c r="G1144" s="1">
        <v>-0.34542317796453498</v>
      </c>
      <c r="H1144" s="1">
        <v>0.27200000000000002</v>
      </c>
      <c r="I1144" s="1">
        <v>0.4</v>
      </c>
      <c r="J1144" s="1">
        <v>2</v>
      </c>
    </row>
    <row r="1145" spans="1:10" x14ac:dyDescent="0.2">
      <c r="A1145" s="1" t="s">
        <v>5708</v>
      </c>
      <c r="B1145" s="1" t="s">
        <v>5707</v>
      </c>
      <c r="C1145" s="1" t="s">
        <v>5706</v>
      </c>
      <c r="D1145" s="2" t="str">
        <f t="shared" si="17"/>
        <v>http://zfin.org/ZDB-GENE-030131-4557</v>
      </c>
      <c r="E1145" s="1" t="s">
        <v>5705</v>
      </c>
      <c r="F1145" s="1">
        <v>9.8188432808466192E-3</v>
      </c>
      <c r="G1145" s="1">
        <v>-0.34523621233491297</v>
      </c>
      <c r="H1145" s="1">
        <v>0.21099999999999999</v>
      </c>
      <c r="I1145" s="1">
        <v>0.38300000000000001</v>
      </c>
      <c r="J1145" s="1">
        <v>2</v>
      </c>
    </row>
    <row r="1146" spans="1:10" x14ac:dyDescent="0.2">
      <c r="A1146" s="1" t="s">
        <v>5704</v>
      </c>
      <c r="B1146" s="1" t="s">
        <v>5703</v>
      </c>
      <c r="C1146" s="1" t="s">
        <v>5702</v>
      </c>
      <c r="D1146" s="2" t="str">
        <f t="shared" si="17"/>
        <v>http://zfin.org/ZDB-GENE-040426-701</v>
      </c>
      <c r="E1146" s="1" t="s">
        <v>5701</v>
      </c>
      <c r="F1146" s="3">
        <v>5.76380618406699E-5</v>
      </c>
      <c r="G1146" s="1">
        <v>-0.345076817072484</v>
      </c>
      <c r="H1146" s="1">
        <v>0.307</v>
      </c>
      <c r="I1146" s="1">
        <v>0.4</v>
      </c>
      <c r="J1146" s="1">
        <v>2</v>
      </c>
    </row>
    <row r="1147" spans="1:10" x14ac:dyDescent="0.2">
      <c r="A1147" s="1" t="s">
        <v>5700</v>
      </c>
      <c r="B1147" s="1" t="s">
        <v>5699</v>
      </c>
      <c r="C1147" s="1" t="s">
        <v>5698</v>
      </c>
      <c r="D1147" s="2" t="str">
        <f t="shared" si="17"/>
        <v>http://zfin.org/ZDB-GENE-031118-66</v>
      </c>
      <c r="E1147" s="1" t="s">
        <v>5697</v>
      </c>
      <c r="F1147" s="1">
        <v>2.32094164534162E-3</v>
      </c>
      <c r="G1147" s="1">
        <v>-0.345006670980332</v>
      </c>
      <c r="H1147" s="1">
        <v>1.7999999999999999E-2</v>
      </c>
      <c r="I1147" s="1">
        <v>0.15</v>
      </c>
      <c r="J1147" s="1">
        <v>2</v>
      </c>
    </row>
    <row r="1148" spans="1:10" x14ac:dyDescent="0.2">
      <c r="A1148" s="1" t="s">
        <v>5696</v>
      </c>
      <c r="B1148" s="1" t="s">
        <v>5695</v>
      </c>
      <c r="C1148" s="1" t="s">
        <v>5694</v>
      </c>
      <c r="D1148" s="2" t="str">
        <f t="shared" si="17"/>
        <v>http://zfin.org/ZDB-GENE-091130-1</v>
      </c>
      <c r="E1148" s="1" t="s">
        <v>5693</v>
      </c>
      <c r="F1148" s="1">
        <v>2.5431637240621698E-3</v>
      </c>
      <c r="G1148" s="1">
        <v>-0.34485153239761501</v>
      </c>
      <c r="H1148" s="1">
        <v>0.14000000000000001</v>
      </c>
      <c r="I1148" s="1">
        <v>0.183</v>
      </c>
      <c r="J1148" s="1">
        <v>2</v>
      </c>
    </row>
    <row r="1149" spans="1:10" x14ac:dyDescent="0.2">
      <c r="A1149" s="1" t="s">
        <v>2543</v>
      </c>
      <c r="B1149" s="1" t="s">
        <v>2542</v>
      </c>
      <c r="C1149" s="1" t="s">
        <v>2541</v>
      </c>
      <c r="D1149" s="2" t="str">
        <f t="shared" si="17"/>
        <v>http://zfin.org/ZDB-GENE-030131-7146</v>
      </c>
      <c r="E1149" s="1" t="s">
        <v>5692</v>
      </c>
      <c r="F1149" s="3">
        <v>5.4102702061532998E-5</v>
      </c>
      <c r="G1149" s="1">
        <v>-0.34472282033403001</v>
      </c>
      <c r="H1149" s="1">
        <v>5.2999999999999999E-2</v>
      </c>
      <c r="I1149" s="1">
        <v>0.15</v>
      </c>
      <c r="J1149" s="1">
        <v>2</v>
      </c>
    </row>
    <row r="1150" spans="1:10" x14ac:dyDescent="0.2">
      <c r="A1150" s="1" t="s">
        <v>4104</v>
      </c>
      <c r="B1150" s="1" t="s">
        <v>4103</v>
      </c>
      <c r="C1150" s="1" t="s">
        <v>4102</v>
      </c>
      <c r="D1150" s="2" t="str">
        <f t="shared" si="17"/>
        <v>http://zfin.org/ZDB-GENE-050506-79</v>
      </c>
      <c r="E1150" s="1" t="s">
        <v>5691</v>
      </c>
      <c r="F1150" s="1">
        <v>5.3050431234399203E-4</v>
      </c>
      <c r="G1150" s="1">
        <v>-0.34459212167070202</v>
      </c>
      <c r="H1150" s="1">
        <v>0.184</v>
      </c>
      <c r="I1150" s="1">
        <v>0.36699999999999999</v>
      </c>
      <c r="J1150" s="1">
        <v>2</v>
      </c>
    </row>
    <row r="1151" spans="1:10" x14ac:dyDescent="0.2">
      <c r="A1151" s="1" t="s">
        <v>5690</v>
      </c>
      <c r="B1151" s="1" t="s">
        <v>5689</v>
      </c>
      <c r="C1151" s="1" t="s">
        <v>5688</v>
      </c>
      <c r="D1151" s="2" t="str">
        <f t="shared" si="17"/>
        <v>http://zfin.org/ZDB-GENE-050417-408</v>
      </c>
      <c r="E1151" s="1" t="s">
        <v>5687</v>
      </c>
      <c r="F1151" s="3">
        <v>6.2479389556297096E-6</v>
      </c>
      <c r="G1151" s="1">
        <v>-0.34453677882255701</v>
      </c>
      <c r="H1151" s="1">
        <v>0.14000000000000001</v>
      </c>
      <c r="I1151" s="1">
        <v>0.28299999999999997</v>
      </c>
      <c r="J1151" s="1">
        <v>2</v>
      </c>
    </row>
    <row r="1152" spans="1:10" x14ac:dyDescent="0.2">
      <c r="A1152" s="1" t="s">
        <v>5686</v>
      </c>
      <c r="B1152" s="1" t="s">
        <v>5685</v>
      </c>
      <c r="C1152" s="1" t="s">
        <v>5684</v>
      </c>
      <c r="D1152" s="2" t="str">
        <f t="shared" si="17"/>
        <v>http://zfin.org/ZDB-GENE-050706-131</v>
      </c>
      <c r="E1152" s="1" t="s">
        <v>5683</v>
      </c>
      <c r="F1152" s="1">
        <v>1.6901933005287399E-3</v>
      </c>
      <c r="G1152" s="1">
        <v>-0.34431287463608101</v>
      </c>
      <c r="H1152" s="1">
        <v>0.219</v>
      </c>
      <c r="I1152" s="1">
        <v>0.36699999999999999</v>
      </c>
      <c r="J1152" s="1">
        <v>2</v>
      </c>
    </row>
    <row r="1153" spans="1:10" x14ac:dyDescent="0.2">
      <c r="A1153" s="1" t="s">
        <v>1167</v>
      </c>
      <c r="B1153" s="1" t="s">
        <v>5682</v>
      </c>
      <c r="C1153" s="1" t="s">
        <v>5681</v>
      </c>
      <c r="D1153" s="2" t="str">
        <f t="shared" si="17"/>
        <v>http://zfin.org/ZDB-GENE-160728-105</v>
      </c>
      <c r="E1153" s="1" t="s">
        <v>5680</v>
      </c>
      <c r="F1153" s="1">
        <v>2.4516245425579102E-4</v>
      </c>
      <c r="G1153" s="1">
        <v>-0.34412834448546797</v>
      </c>
      <c r="H1153" s="1">
        <v>0.60499999999999998</v>
      </c>
      <c r="I1153" s="1">
        <v>0.45</v>
      </c>
      <c r="J1153" s="1">
        <v>2</v>
      </c>
    </row>
    <row r="1154" spans="1:10" x14ac:dyDescent="0.2">
      <c r="A1154" s="1" t="s">
        <v>5679</v>
      </c>
      <c r="B1154" s="1" t="s">
        <v>5678</v>
      </c>
      <c r="C1154" s="1" t="s">
        <v>5677</v>
      </c>
      <c r="D1154" s="2" t="str">
        <f t="shared" ref="D1154:D1217" si="18">HYPERLINK(E1154)</f>
        <v>http://zfin.org/ZDB-GENE-030131-5584</v>
      </c>
      <c r="E1154" s="1" t="s">
        <v>5676</v>
      </c>
      <c r="F1154" s="3">
        <v>1.0391509448419E-5</v>
      </c>
      <c r="G1154" s="1">
        <v>-0.34404936322611002</v>
      </c>
      <c r="H1154" s="1">
        <v>0.27200000000000002</v>
      </c>
      <c r="I1154" s="1">
        <v>0.38300000000000001</v>
      </c>
      <c r="J1154" s="1">
        <v>2</v>
      </c>
    </row>
    <row r="1155" spans="1:10" x14ac:dyDescent="0.2">
      <c r="A1155" s="1" t="s">
        <v>5675</v>
      </c>
      <c r="B1155" s="1" t="s">
        <v>5674</v>
      </c>
      <c r="C1155" s="1" t="s">
        <v>5673</v>
      </c>
      <c r="D1155" s="2" t="str">
        <f t="shared" si="18"/>
        <v>http://zfin.org/ZDB-GENE-040912-87</v>
      </c>
      <c r="E1155" s="1" t="s">
        <v>5672</v>
      </c>
      <c r="F1155" s="3">
        <v>1.6971693759184399E-6</v>
      </c>
      <c r="G1155" s="1">
        <v>-0.34377493210691601</v>
      </c>
      <c r="H1155" s="1">
        <v>0.219</v>
      </c>
      <c r="I1155" s="1">
        <v>0.33300000000000002</v>
      </c>
      <c r="J1155" s="1">
        <v>2</v>
      </c>
    </row>
    <row r="1156" spans="1:10" x14ac:dyDescent="0.2">
      <c r="A1156" s="1" t="s">
        <v>5671</v>
      </c>
      <c r="B1156" s="1" t="s">
        <v>5670</v>
      </c>
      <c r="C1156" s="1" t="s">
        <v>5669</v>
      </c>
      <c r="D1156" s="2" t="str">
        <f t="shared" si="18"/>
        <v>http://zfin.org/ZDB-GENE-040426-1683</v>
      </c>
      <c r="E1156" s="1" t="s">
        <v>5668</v>
      </c>
      <c r="F1156" s="1">
        <v>1.4602203223625199E-2</v>
      </c>
      <c r="G1156" s="1">
        <v>-0.34294055607852603</v>
      </c>
      <c r="H1156" s="1">
        <v>0.21099999999999999</v>
      </c>
      <c r="I1156" s="1">
        <v>0.38300000000000001</v>
      </c>
      <c r="J1156" s="1">
        <v>2</v>
      </c>
    </row>
    <row r="1157" spans="1:10" x14ac:dyDescent="0.2">
      <c r="A1157" s="1" t="s">
        <v>5667</v>
      </c>
      <c r="B1157" s="1" t="s">
        <v>5666</v>
      </c>
      <c r="C1157" s="1" t="s">
        <v>5665</v>
      </c>
      <c r="D1157" s="2" t="str">
        <f t="shared" si="18"/>
        <v>http://zfin.org/ZDB-GENE-040426-2009</v>
      </c>
      <c r="E1157" s="1" t="s">
        <v>5664</v>
      </c>
      <c r="F1157" s="1">
        <v>1.15398183430436E-4</v>
      </c>
      <c r="G1157" s="1">
        <v>-0.34268368453412301</v>
      </c>
      <c r="H1157" s="1">
        <v>0.38600000000000001</v>
      </c>
      <c r="I1157" s="1">
        <v>0.41699999999999998</v>
      </c>
      <c r="J1157" s="1">
        <v>2</v>
      </c>
    </row>
    <row r="1158" spans="1:10" x14ac:dyDescent="0.2">
      <c r="A1158" s="1" t="s">
        <v>5663</v>
      </c>
      <c r="B1158" s="1" t="s">
        <v>5662</v>
      </c>
      <c r="C1158" s="1" t="s">
        <v>5661</v>
      </c>
      <c r="D1158" s="2" t="str">
        <f t="shared" si="18"/>
        <v>http://zfin.org/ZDB-GENE-990415-245</v>
      </c>
      <c r="E1158" s="1" t="s">
        <v>5660</v>
      </c>
      <c r="F1158" s="1">
        <v>7.5075625444699897E-3</v>
      </c>
      <c r="G1158" s="1">
        <v>-0.34264667918948899</v>
      </c>
      <c r="H1158" s="1">
        <v>0.33300000000000002</v>
      </c>
      <c r="I1158" s="1">
        <v>0.5</v>
      </c>
      <c r="J1158" s="1">
        <v>2</v>
      </c>
    </row>
    <row r="1159" spans="1:10" x14ac:dyDescent="0.2">
      <c r="A1159" s="1" t="s">
        <v>2525</v>
      </c>
      <c r="B1159" s="1" t="s">
        <v>2524</v>
      </c>
      <c r="C1159" s="1" t="s">
        <v>2523</v>
      </c>
      <c r="D1159" s="2" t="str">
        <f t="shared" si="18"/>
        <v>http://zfin.org/ZDB-GENE-020419-24</v>
      </c>
      <c r="E1159" s="1" t="s">
        <v>5659</v>
      </c>
      <c r="F1159" s="1">
        <v>1.9178009451589499E-3</v>
      </c>
      <c r="G1159" s="1">
        <v>-0.341948930417174</v>
      </c>
      <c r="H1159" s="1">
        <v>2.5999999999999999E-2</v>
      </c>
      <c r="I1159" s="1">
        <v>0.15</v>
      </c>
      <c r="J1159" s="1">
        <v>2</v>
      </c>
    </row>
    <row r="1160" spans="1:10" x14ac:dyDescent="0.2">
      <c r="A1160" s="1" t="s">
        <v>5658</v>
      </c>
      <c r="B1160" s="1" t="s">
        <v>5657</v>
      </c>
      <c r="C1160" s="1" t="s">
        <v>5656</v>
      </c>
      <c r="D1160" s="2" t="str">
        <f t="shared" si="18"/>
        <v>http://zfin.org/ZDB-GENE-060130-180</v>
      </c>
      <c r="E1160" s="1" t="s">
        <v>5655</v>
      </c>
      <c r="F1160" s="1">
        <v>2.62498377127348E-2</v>
      </c>
      <c r="G1160" s="1">
        <v>-0.341845543505088</v>
      </c>
      <c r="H1160" s="1">
        <v>0.14899999999999999</v>
      </c>
      <c r="I1160" s="1">
        <v>0.33300000000000002</v>
      </c>
      <c r="J1160" s="1">
        <v>2</v>
      </c>
    </row>
    <row r="1161" spans="1:10" x14ac:dyDescent="0.2">
      <c r="A1161" s="1" t="s">
        <v>5654</v>
      </c>
      <c r="B1161" s="1" t="s">
        <v>5653</v>
      </c>
      <c r="C1161" s="1" t="s">
        <v>5652</v>
      </c>
      <c r="D1161" s="2" t="str">
        <f t="shared" si="18"/>
        <v>http://zfin.org/ZDB-GENE-061103-619</v>
      </c>
      <c r="E1161" s="1" t="s">
        <v>5651</v>
      </c>
      <c r="F1161" s="1">
        <v>5.3180090661721503E-2</v>
      </c>
      <c r="G1161" s="1">
        <v>-0.34178072539534599</v>
      </c>
      <c r="H1161" s="1">
        <v>6.0999999999999999E-2</v>
      </c>
      <c r="I1161" s="1">
        <v>0.2</v>
      </c>
      <c r="J1161" s="1">
        <v>2</v>
      </c>
    </row>
    <row r="1162" spans="1:10" x14ac:dyDescent="0.2">
      <c r="A1162" s="1" t="s">
        <v>5650</v>
      </c>
      <c r="B1162" s="1" t="s">
        <v>5649</v>
      </c>
      <c r="C1162" s="1" t="s">
        <v>5648</v>
      </c>
      <c r="D1162" s="2" t="str">
        <f t="shared" si="18"/>
        <v>http://zfin.org/ZDB-GENE-060312-35</v>
      </c>
      <c r="E1162" s="1" t="s">
        <v>5647</v>
      </c>
      <c r="F1162" s="1">
        <v>6.79335103125683E-3</v>
      </c>
      <c r="G1162" s="1">
        <v>-0.34144890039938303</v>
      </c>
      <c r="H1162" s="1">
        <v>0.105</v>
      </c>
      <c r="I1162" s="1">
        <v>0.2</v>
      </c>
      <c r="J1162" s="1">
        <v>2</v>
      </c>
    </row>
    <row r="1163" spans="1:10" x14ac:dyDescent="0.2">
      <c r="A1163" s="1" t="s">
        <v>5646</v>
      </c>
      <c r="B1163" s="1" t="s">
        <v>5645</v>
      </c>
      <c r="C1163" s="1" t="s">
        <v>5644</v>
      </c>
      <c r="D1163" s="2" t="str">
        <f t="shared" si="18"/>
        <v>http://zfin.org/ZDB-GENE-030131-5884</v>
      </c>
      <c r="E1163" s="1" t="s">
        <v>5643</v>
      </c>
      <c r="F1163" s="1">
        <v>1.35442950837405E-3</v>
      </c>
      <c r="G1163" s="1">
        <v>-0.34133799168954698</v>
      </c>
      <c r="H1163" s="1">
        <v>0.219</v>
      </c>
      <c r="I1163" s="1">
        <v>0.4</v>
      </c>
      <c r="J1163" s="1">
        <v>2</v>
      </c>
    </row>
    <row r="1164" spans="1:10" x14ac:dyDescent="0.2">
      <c r="A1164" s="1" t="s">
        <v>5642</v>
      </c>
      <c r="B1164" s="1" t="s">
        <v>5641</v>
      </c>
      <c r="C1164" s="1" t="s">
        <v>5640</v>
      </c>
      <c r="D1164" s="2" t="str">
        <f t="shared" si="18"/>
        <v>http://zfin.org/ZDB-GENE-030131-2748</v>
      </c>
      <c r="E1164" s="1" t="s">
        <v>5639</v>
      </c>
      <c r="F1164" s="1">
        <v>1.6270257894346901E-4</v>
      </c>
      <c r="G1164" s="1">
        <v>-0.34078467150603398</v>
      </c>
      <c r="H1164" s="1">
        <v>0.58799999999999997</v>
      </c>
      <c r="I1164" s="1">
        <v>0.61699999999999999</v>
      </c>
      <c r="J1164" s="1">
        <v>2</v>
      </c>
    </row>
    <row r="1165" spans="1:10" x14ac:dyDescent="0.2">
      <c r="A1165" s="1" t="s">
        <v>5638</v>
      </c>
      <c r="B1165" s="1" t="s">
        <v>5637</v>
      </c>
      <c r="C1165" s="1" t="s">
        <v>5636</v>
      </c>
      <c r="D1165" s="2" t="str">
        <f t="shared" si="18"/>
        <v>http://zfin.org/ZDB-GENE-050309-87</v>
      </c>
      <c r="E1165" s="1" t="s">
        <v>5635</v>
      </c>
      <c r="F1165" s="3">
        <v>3.7353661086316399E-5</v>
      </c>
      <c r="G1165" s="1">
        <v>-0.34060720278983903</v>
      </c>
      <c r="H1165" s="1">
        <v>0.99099999999999999</v>
      </c>
      <c r="I1165" s="1">
        <v>1</v>
      </c>
      <c r="J1165" s="1">
        <v>2</v>
      </c>
    </row>
    <row r="1166" spans="1:10" x14ac:dyDescent="0.2">
      <c r="A1166" s="1" t="s">
        <v>5634</v>
      </c>
      <c r="B1166" s="1" t="s">
        <v>5633</v>
      </c>
      <c r="C1166" s="1" t="s">
        <v>5632</v>
      </c>
      <c r="D1166" s="2" t="str">
        <f t="shared" si="18"/>
        <v>http://zfin.org/ZDB-GENE-011010-2</v>
      </c>
      <c r="E1166" s="1" t="s">
        <v>5631</v>
      </c>
      <c r="F1166" s="1">
        <v>6.7000085966330697E-3</v>
      </c>
      <c r="G1166" s="1">
        <v>-0.340558785409249</v>
      </c>
      <c r="H1166" s="1">
        <v>8.7999999999999995E-2</v>
      </c>
      <c r="I1166" s="1">
        <v>0.183</v>
      </c>
      <c r="J1166" s="1">
        <v>2</v>
      </c>
    </row>
    <row r="1167" spans="1:10" x14ac:dyDescent="0.2">
      <c r="A1167" s="1" t="s">
        <v>2983</v>
      </c>
      <c r="B1167" s="1" t="s">
        <v>2982</v>
      </c>
      <c r="C1167" s="1" t="s">
        <v>2981</v>
      </c>
      <c r="D1167" s="2" t="str">
        <f t="shared" si="18"/>
        <v>http://zfin.org/ZDB-GENE-020402-4</v>
      </c>
      <c r="E1167" s="1" t="s">
        <v>5630</v>
      </c>
      <c r="F1167" s="1">
        <v>1.0601019130174E-2</v>
      </c>
      <c r="G1167" s="1">
        <v>-0.340468134335152</v>
      </c>
      <c r="H1167" s="1">
        <v>0.32500000000000001</v>
      </c>
      <c r="I1167" s="1">
        <v>0.433</v>
      </c>
      <c r="J1167" s="1">
        <v>2</v>
      </c>
    </row>
    <row r="1168" spans="1:10" x14ac:dyDescent="0.2">
      <c r="A1168" s="1" t="s">
        <v>5629</v>
      </c>
      <c r="B1168" s="1" t="s">
        <v>5628</v>
      </c>
      <c r="C1168" s="1" t="s">
        <v>5627</v>
      </c>
      <c r="D1168" s="2" t="str">
        <f t="shared" si="18"/>
        <v>http://zfin.org/ZDB-GENE-030131-6759</v>
      </c>
      <c r="E1168" s="1" t="s">
        <v>5626</v>
      </c>
      <c r="F1168" s="1">
        <v>4.9779750981651097E-3</v>
      </c>
      <c r="G1168" s="1">
        <v>-0.34035851016838897</v>
      </c>
      <c r="H1168" s="1">
        <v>8.9999999999999993E-3</v>
      </c>
      <c r="I1168" s="1">
        <v>0.13300000000000001</v>
      </c>
      <c r="J1168" s="1">
        <v>2</v>
      </c>
    </row>
    <row r="1169" spans="1:10" x14ac:dyDescent="0.2">
      <c r="A1169" s="1" t="s">
        <v>5625</v>
      </c>
      <c r="B1169" s="1" t="s">
        <v>5624</v>
      </c>
      <c r="C1169" s="1" t="s">
        <v>5623</v>
      </c>
      <c r="D1169" s="2" t="str">
        <f t="shared" si="18"/>
        <v>http://zfin.org/ZDB-GENE-160628-5</v>
      </c>
      <c r="E1169" s="1" t="s">
        <v>5622</v>
      </c>
      <c r="F1169" s="1">
        <v>2.2135086663890299E-4</v>
      </c>
      <c r="G1169" s="1">
        <v>-0.34016589593262903</v>
      </c>
      <c r="H1169" s="1">
        <v>0.114</v>
      </c>
      <c r="I1169" s="1">
        <v>0.25</v>
      </c>
      <c r="J1169" s="1">
        <v>2</v>
      </c>
    </row>
    <row r="1170" spans="1:10" x14ac:dyDescent="0.2">
      <c r="A1170" s="1" t="s">
        <v>5621</v>
      </c>
      <c r="B1170" s="1" t="s">
        <v>5620</v>
      </c>
      <c r="C1170" s="1" t="s">
        <v>5619</v>
      </c>
      <c r="D1170" s="2" t="str">
        <f t="shared" si="18"/>
        <v>http://zfin.org/ZDB-GENE-040426-1589</v>
      </c>
      <c r="E1170" s="1" t="s">
        <v>5618</v>
      </c>
      <c r="F1170" s="1">
        <v>1.12631080660288E-2</v>
      </c>
      <c r="G1170" s="1">
        <v>-0.34004832178438499</v>
      </c>
      <c r="H1170" s="1">
        <v>0.316</v>
      </c>
      <c r="I1170" s="1">
        <v>0.433</v>
      </c>
      <c r="J1170" s="1">
        <v>2</v>
      </c>
    </row>
    <row r="1171" spans="1:10" x14ac:dyDescent="0.2">
      <c r="A1171" s="1" t="s">
        <v>5617</v>
      </c>
      <c r="B1171" s="1" t="s">
        <v>5616</v>
      </c>
      <c r="C1171" s="1" t="s">
        <v>5615</v>
      </c>
      <c r="D1171" s="2" t="str">
        <f t="shared" si="18"/>
        <v>http://zfin.org/ZDB-GENE-040718-245</v>
      </c>
      <c r="E1171" s="1" t="s">
        <v>5614</v>
      </c>
      <c r="F1171" s="1">
        <v>3.21990262593246E-4</v>
      </c>
      <c r="G1171" s="1">
        <v>-0.33970751596585003</v>
      </c>
      <c r="H1171" s="1">
        <v>0.21099999999999999</v>
      </c>
      <c r="I1171" s="1">
        <v>0.36699999999999999</v>
      </c>
      <c r="J1171" s="1">
        <v>2</v>
      </c>
    </row>
    <row r="1172" spans="1:10" x14ac:dyDescent="0.2">
      <c r="A1172" s="1" t="s">
        <v>5613</v>
      </c>
      <c r="B1172" s="1" t="s">
        <v>5612</v>
      </c>
      <c r="C1172" s="1" t="s">
        <v>5611</v>
      </c>
      <c r="D1172" s="2" t="str">
        <f t="shared" si="18"/>
        <v>http://zfin.org/ZDB-GENE-030131-563</v>
      </c>
      <c r="E1172" s="1" t="s">
        <v>5610</v>
      </c>
      <c r="F1172" s="3">
        <v>9.9023986730109394E-5</v>
      </c>
      <c r="G1172" s="1">
        <v>-0.339591654476811</v>
      </c>
      <c r="H1172" s="1">
        <v>0.73699999999999999</v>
      </c>
      <c r="I1172" s="1">
        <v>0.71699999999999997</v>
      </c>
      <c r="J1172" s="1">
        <v>2</v>
      </c>
    </row>
    <row r="1173" spans="1:10" x14ac:dyDescent="0.2">
      <c r="A1173" s="1" t="s">
        <v>2824</v>
      </c>
      <c r="B1173" s="1" t="s">
        <v>2823</v>
      </c>
      <c r="C1173" s="1" t="s">
        <v>2822</v>
      </c>
      <c r="D1173" s="2" t="str">
        <f t="shared" si="18"/>
        <v>http://zfin.org/ZDB-GENE-030114-6</v>
      </c>
      <c r="E1173" s="1" t="s">
        <v>5609</v>
      </c>
      <c r="F1173" s="1">
        <v>1.2931091807067601E-3</v>
      </c>
      <c r="G1173" s="1">
        <v>-0.33953422696748198</v>
      </c>
      <c r="H1173" s="1">
        <v>2.5999999999999999E-2</v>
      </c>
      <c r="I1173" s="1">
        <v>0.16700000000000001</v>
      </c>
      <c r="J1173" s="1">
        <v>2</v>
      </c>
    </row>
    <row r="1174" spans="1:10" x14ac:dyDescent="0.2">
      <c r="A1174" s="1" t="s">
        <v>5608</v>
      </c>
      <c r="B1174" s="1" t="s">
        <v>5607</v>
      </c>
      <c r="C1174" s="1" t="s">
        <v>5606</v>
      </c>
      <c r="D1174" s="2" t="str">
        <f t="shared" si="18"/>
        <v>http://zfin.org/ZDB-GENE-030131-614</v>
      </c>
      <c r="E1174" s="1" t="s">
        <v>5605</v>
      </c>
      <c r="F1174" s="3">
        <v>1.75099721625541E-5</v>
      </c>
      <c r="G1174" s="1">
        <v>-0.339319426443771</v>
      </c>
      <c r="H1174" s="1">
        <v>0.55300000000000005</v>
      </c>
      <c r="I1174" s="1">
        <v>0.58299999999999996</v>
      </c>
      <c r="J1174" s="1">
        <v>2</v>
      </c>
    </row>
    <row r="1175" spans="1:10" x14ac:dyDescent="0.2">
      <c r="A1175" s="1" t="s">
        <v>5604</v>
      </c>
      <c r="B1175" s="1" t="s">
        <v>5603</v>
      </c>
      <c r="C1175" s="1" t="s">
        <v>5602</v>
      </c>
      <c r="D1175" s="2" t="str">
        <f t="shared" si="18"/>
        <v>http://zfin.org/ZDB-GENE-030131-2420</v>
      </c>
      <c r="E1175" s="1" t="s">
        <v>5601</v>
      </c>
      <c r="F1175" s="3">
        <v>1.0254344791110899E-9</v>
      </c>
      <c r="G1175" s="1">
        <v>-0.338861327359539</v>
      </c>
      <c r="H1175" s="1">
        <v>0.22800000000000001</v>
      </c>
      <c r="I1175" s="1">
        <v>0.28299999999999997</v>
      </c>
      <c r="J1175" s="1">
        <v>2</v>
      </c>
    </row>
    <row r="1176" spans="1:10" x14ac:dyDescent="0.2">
      <c r="A1176" s="1" t="s">
        <v>1380</v>
      </c>
      <c r="B1176" s="1" t="s">
        <v>1379</v>
      </c>
      <c r="C1176" s="1" t="s">
        <v>1378</v>
      </c>
      <c r="D1176" s="2" t="str">
        <f t="shared" si="18"/>
        <v>http://zfin.org/ZDB-GENE-030131-8625</v>
      </c>
      <c r="E1176" s="1" t="s">
        <v>5600</v>
      </c>
      <c r="F1176" s="3">
        <v>4.1449663904334102E-6</v>
      </c>
      <c r="G1176" s="1">
        <v>-0.33860585913500002</v>
      </c>
      <c r="H1176" s="1">
        <v>0.96499999999999997</v>
      </c>
      <c r="I1176" s="1">
        <v>0.9</v>
      </c>
      <c r="J1176" s="1">
        <v>2</v>
      </c>
    </row>
    <row r="1177" spans="1:10" x14ac:dyDescent="0.2">
      <c r="A1177" s="1" t="s">
        <v>5599</v>
      </c>
      <c r="B1177" s="1" t="s">
        <v>5598</v>
      </c>
      <c r="C1177" s="1" t="s">
        <v>5597</v>
      </c>
      <c r="D1177" s="2" t="str">
        <f t="shared" si="18"/>
        <v>http://zfin.org/ZDB-GENE-080204-79</v>
      </c>
      <c r="E1177" s="1" t="s">
        <v>5596</v>
      </c>
      <c r="F1177" s="1">
        <v>6.0776850081836699E-4</v>
      </c>
      <c r="G1177" s="1">
        <v>-0.33860264115639699</v>
      </c>
      <c r="H1177" s="1">
        <v>8.9999999999999993E-3</v>
      </c>
      <c r="I1177" s="1">
        <v>0.183</v>
      </c>
      <c r="J1177" s="1">
        <v>2</v>
      </c>
    </row>
    <row r="1178" spans="1:10" x14ac:dyDescent="0.2">
      <c r="A1178" s="1" t="s">
        <v>5595</v>
      </c>
      <c r="B1178" s="1" t="s">
        <v>5594</v>
      </c>
      <c r="C1178" s="1" t="s">
        <v>5593</v>
      </c>
      <c r="D1178" s="2" t="str">
        <f t="shared" si="18"/>
        <v>http://zfin.org/ZDB-GENE-030131-3663</v>
      </c>
      <c r="E1178" s="1" t="s">
        <v>5592</v>
      </c>
      <c r="F1178" s="1">
        <v>4.5478225556261102E-3</v>
      </c>
      <c r="G1178" s="1">
        <v>-0.33859465183064102</v>
      </c>
      <c r="H1178" s="1">
        <v>0.13200000000000001</v>
      </c>
      <c r="I1178" s="1">
        <v>0.28299999999999997</v>
      </c>
      <c r="J1178" s="1">
        <v>2</v>
      </c>
    </row>
    <row r="1179" spans="1:10" x14ac:dyDescent="0.2">
      <c r="A1179" s="1" t="s">
        <v>5591</v>
      </c>
      <c r="B1179" s="1" t="s">
        <v>5590</v>
      </c>
      <c r="C1179" s="1" t="s">
        <v>5589</v>
      </c>
      <c r="D1179" s="2" t="str">
        <f t="shared" si="18"/>
        <v>http://zfin.org/ZDB-GENE-030729-18</v>
      </c>
      <c r="E1179" s="1" t="s">
        <v>5588</v>
      </c>
      <c r="F1179" s="1">
        <v>1.2945834502160001E-3</v>
      </c>
      <c r="G1179" s="1">
        <v>-0.33811628701563101</v>
      </c>
      <c r="H1179" s="1">
        <v>0.316</v>
      </c>
      <c r="I1179" s="1">
        <v>0.48299999999999998</v>
      </c>
      <c r="J1179" s="1">
        <v>2</v>
      </c>
    </row>
    <row r="1180" spans="1:10" x14ac:dyDescent="0.2">
      <c r="A1180" s="1" t="s">
        <v>5587</v>
      </c>
      <c r="B1180" s="1" t="s">
        <v>5586</v>
      </c>
      <c r="C1180" s="1" t="s">
        <v>5585</v>
      </c>
      <c r="D1180" s="2" t="str">
        <f t="shared" si="18"/>
        <v>http://zfin.org/ZDB-GENE-040426-57</v>
      </c>
      <c r="E1180" s="1" t="s">
        <v>5584</v>
      </c>
      <c r="F1180" s="3">
        <v>9.98513896559708E-7</v>
      </c>
      <c r="G1180" s="1">
        <v>-0.33762585333023298</v>
      </c>
      <c r="H1180" s="1">
        <v>0.43</v>
      </c>
      <c r="I1180" s="1">
        <v>0.38300000000000001</v>
      </c>
      <c r="J1180" s="1">
        <v>2</v>
      </c>
    </row>
    <row r="1181" spans="1:10" x14ac:dyDescent="0.2">
      <c r="A1181" s="1" t="s">
        <v>5583</v>
      </c>
      <c r="B1181" s="1" t="s">
        <v>5582</v>
      </c>
      <c r="C1181" s="1" t="s">
        <v>5581</v>
      </c>
      <c r="D1181" s="2" t="str">
        <f t="shared" si="18"/>
        <v>http://zfin.org/ZDB-GENE-030131-6141</v>
      </c>
      <c r="E1181" s="1" t="s">
        <v>5580</v>
      </c>
      <c r="F1181" s="1">
        <v>3.3189188216598198E-4</v>
      </c>
      <c r="G1181" s="1">
        <v>-0.33753744280922798</v>
      </c>
      <c r="H1181" s="1">
        <v>7.9000000000000001E-2</v>
      </c>
      <c r="I1181" s="1">
        <v>0.13300000000000001</v>
      </c>
      <c r="J1181" s="1">
        <v>2</v>
      </c>
    </row>
    <row r="1182" spans="1:10" x14ac:dyDescent="0.2">
      <c r="A1182" s="1" t="s">
        <v>5579</v>
      </c>
      <c r="B1182" s="1" t="s">
        <v>5578</v>
      </c>
      <c r="C1182" s="1" t="s">
        <v>5577</v>
      </c>
      <c r="D1182" s="2" t="str">
        <f t="shared" si="18"/>
        <v>http://zfin.org/ZDB-GENE-030131-5395</v>
      </c>
      <c r="E1182" s="1" t="s">
        <v>5576</v>
      </c>
      <c r="F1182" s="3">
        <v>3.1279648153164002E-6</v>
      </c>
      <c r="G1182" s="1">
        <v>-0.33747780725862703</v>
      </c>
      <c r="H1182" s="1">
        <v>0.40400000000000003</v>
      </c>
      <c r="I1182" s="1">
        <v>0.45</v>
      </c>
      <c r="J1182" s="1">
        <v>2</v>
      </c>
    </row>
    <row r="1183" spans="1:10" x14ac:dyDescent="0.2">
      <c r="A1183" s="1" t="s">
        <v>5575</v>
      </c>
      <c r="B1183" s="1" t="s">
        <v>5574</v>
      </c>
      <c r="C1183" s="1" t="s">
        <v>5573</v>
      </c>
      <c r="D1183" s="2" t="str">
        <f t="shared" si="18"/>
        <v>http://zfin.org/ZDB-GENE-040718-99</v>
      </c>
      <c r="E1183" s="1" t="s">
        <v>5572</v>
      </c>
      <c r="F1183" s="3">
        <v>3.00105134215951E-5</v>
      </c>
      <c r="G1183" s="1">
        <v>-0.33734503566998802</v>
      </c>
      <c r="H1183" s="1">
        <v>0.158</v>
      </c>
      <c r="I1183" s="1">
        <v>0.28299999999999997</v>
      </c>
      <c r="J1183" s="1">
        <v>2</v>
      </c>
    </row>
    <row r="1184" spans="1:10" x14ac:dyDescent="0.2">
      <c r="A1184" s="1" t="s">
        <v>5571</v>
      </c>
      <c r="B1184" s="1" t="s">
        <v>5570</v>
      </c>
      <c r="C1184" s="1" t="s">
        <v>5569</v>
      </c>
      <c r="D1184" s="2" t="str">
        <f t="shared" si="18"/>
        <v>http://zfin.org/ZDB-GENE-040426-1066</v>
      </c>
      <c r="E1184" s="1" t="s">
        <v>5568</v>
      </c>
      <c r="F1184" s="1">
        <v>3.8399581045377201E-3</v>
      </c>
      <c r="G1184" s="1">
        <v>-0.336710047510481</v>
      </c>
      <c r="H1184" s="1">
        <v>0.254</v>
      </c>
      <c r="I1184" s="1">
        <v>0.4</v>
      </c>
      <c r="J1184" s="1">
        <v>2</v>
      </c>
    </row>
    <row r="1185" spans="1:10" x14ac:dyDescent="0.2">
      <c r="A1185" s="1" t="s">
        <v>5567</v>
      </c>
      <c r="B1185" s="1" t="s">
        <v>5566</v>
      </c>
      <c r="C1185" s="1" t="s">
        <v>5565</v>
      </c>
      <c r="D1185" s="2" t="str">
        <f t="shared" si="18"/>
        <v>http://zfin.org/ZDB-GENE-050309-265</v>
      </c>
      <c r="E1185" s="1" t="s">
        <v>5564</v>
      </c>
      <c r="F1185" s="1">
        <v>3.7572375632875299E-2</v>
      </c>
      <c r="G1185" s="1">
        <v>-0.33634320835444897</v>
      </c>
      <c r="H1185" s="1">
        <v>0.29799999999999999</v>
      </c>
      <c r="I1185" s="1">
        <v>0.38300000000000001</v>
      </c>
      <c r="J1185" s="1">
        <v>2</v>
      </c>
    </row>
    <row r="1186" spans="1:10" x14ac:dyDescent="0.2">
      <c r="A1186" s="1" t="s">
        <v>5563</v>
      </c>
      <c r="B1186" s="1" t="s">
        <v>5562</v>
      </c>
      <c r="C1186" s="1" t="s">
        <v>5561</v>
      </c>
      <c r="D1186" s="2" t="str">
        <f t="shared" si="18"/>
        <v>http://zfin.org/ZDB-GENE-050809-125</v>
      </c>
      <c r="E1186" s="1" t="s">
        <v>5560</v>
      </c>
      <c r="F1186" s="1">
        <v>3.7320682155473298E-3</v>
      </c>
      <c r="G1186" s="1">
        <v>-0.33631634372174402</v>
      </c>
      <c r="H1186" s="1">
        <v>0.114</v>
      </c>
      <c r="I1186" s="1">
        <v>0.26700000000000002</v>
      </c>
      <c r="J1186" s="1">
        <v>2</v>
      </c>
    </row>
    <row r="1187" spans="1:10" x14ac:dyDescent="0.2">
      <c r="A1187" s="1" t="s">
        <v>2432</v>
      </c>
      <c r="B1187" s="1" t="s">
        <v>2431</v>
      </c>
      <c r="C1187" s="1" t="s">
        <v>2430</v>
      </c>
      <c r="D1187" s="2" t="str">
        <f t="shared" si="18"/>
        <v>http://zfin.org/ZDB-GENE-070424-1</v>
      </c>
      <c r="E1187" s="1" t="s">
        <v>5559</v>
      </c>
      <c r="F1187" s="1">
        <v>6.0953263315470605E-4</v>
      </c>
      <c r="G1187" s="1">
        <v>-0.33596173497866499</v>
      </c>
      <c r="H1187" s="1">
        <v>0.123</v>
      </c>
      <c r="I1187" s="1">
        <v>0.3</v>
      </c>
      <c r="J1187" s="1">
        <v>2</v>
      </c>
    </row>
    <row r="1188" spans="1:10" x14ac:dyDescent="0.2">
      <c r="A1188" s="1" t="s">
        <v>2594</v>
      </c>
      <c r="B1188" s="1" t="s">
        <v>2593</v>
      </c>
      <c r="C1188" s="1" t="s">
        <v>2592</v>
      </c>
      <c r="D1188" s="2" t="str">
        <f t="shared" si="18"/>
        <v>http://zfin.org/ZDB-GENE-041114-180</v>
      </c>
      <c r="E1188" s="1" t="s">
        <v>5558</v>
      </c>
      <c r="F1188" s="1">
        <v>3.4411954774152798E-3</v>
      </c>
      <c r="G1188" s="1">
        <v>-0.33592735938964902</v>
      </c>
      <c r="H1188" s="1">
        <v>0.49099999999999999</v>
      </c>
      <c r="I1188" s="1">
        <v>0.56699999999999995</v>
      </c>
      <c r="J1188" s="1">
        <v>2</v>
      </c>
    </row>
    <row r="1189" spans="1:10" x14ac:dyDescent="0.2">
      <c r="A1189" s="1" t="s">
        <v>5557</v>
      </c>
      <c r="B1189" s="1" t="s">
        <v>5556</v>
      </c>
      <c r="C1189" s="1" t="s">
        <v>5555</v>
      </c>
      <c r="D1189" s="2" t="str">
        <f t="shared" si="18"/>
        <v>http://zfin.org/ZDB-GENE-030131-6312</v>
      </c>
      <c r="E1189" s="1" t="s">
        <v>5554</v>
      </c>
      <c r="F1189" s="3">
        <v>7.9542320174742694E-5</v>
      </c>
      <c r="G1189" s="1">
        <v>-0.33587305859617</v>
      </c>
      <c r="H1189" s="1">
        <v>0.20200000000000001</v>
      </c>
      <c r="I1189" s="1">
        <v>0.35</v>
      </c>
      <c r="J1189" s="1">
        <v>2</v>
      </c>
    </row>
    <row r="1190" spans="1:10" x14ac:dyDescent="0.2">
      <c r="A1190" s="1" t="s">
        <v>3306</v>
      </c>
      <c r="B1190" s="1" t="s">
        <v>3305</v>
      </c>
      <c r="C1190" s="1" t="s">
        <v>3304</v>
      </c>
      <c r="D1190" s="2" t="str">
        <f t="shared" si="18"/>
        <v>http://zfin.org/ZDB-GENE-030131-650</v>
      </c>
      <c r="E1190" s="1" t="s">
        <v>5553</v>
      </c>
      <c r="F1190" s="3">
        <v>6.8769010253239799E-7</v>
      </c>
      <c r="G1190" s="1">
        <v>-0.33504317460705701</v>
      </c>
      <c r="H1190" s="1">
        <v>0.28899999999999998</v>
      </c>
      <c r="I1190" s="1">
        <v>0.45</v>
      </c>
      <c r="J1190" s="1">
        <v>2</v>
      </c>
    </row>
    <row r="1191" spans="1:10" x14ac:dyDescent="0.2">
      <c r="A1191" s="1" t="s">
        <v>5552</v>
      </c>
      <c r="B1191" s="1" t="s">
        <v>5551</v>
      </c>
      <c r="C1191" s="1" t="s">
        <v>5550</v>
      </c>
      <c r="D1191" s="2" t="str">
        <f t="shared" si="18"/>
        <v>http://zfin.org/ZDB-GENE-040426-2594</v>
      </c>
      <c r="E1191" s="1" t="s">
        <v>5549</v>
      </c>
      <c r="F1191" s="3">
        <v>1.0054555183792699E-5</v>
      </c>
      <c r="G1191" s="1">
        <v>-0.334837633413342</v>
      </c>
      <c r="H1191" s="1">
        <v>0.193</v>
      </c>
      <c r="I1191" s="1">
        <v>0.28299999999999997</v>
      </c>
      <c r="J1191" s="1">
        <v>2</v>
      </c>
    </row>
    <row r="1192" spans="1:10" x14ac:dyDescent="0.2">
      <c r="A1192" s="1" t="s">
        <v>5548</v>
      </c>
      <c r="B1192" s="1" t="s">
        <v>5547</v>
      </c>
      <c r="C1192" s="1" t="s">
        <v>5546</v>
      </c>
      <c r="D1192" s="2" t="str">
        <f t="shared" si="18"/>
        <v>http://zfin.org/ZDB-GENE-030909-1</v>
      </c>
      <c r="E1192" s="1" t="s">
        <v>5545</v>
      </c>
      <c r="F1192" s="1">
        <v>2.9517107696026999E-3</v>
      </c>
      <c r="G1192" s="1">
        <v>-0.33441531782377198</v>
      </c>
      <c r="H1192" s="1">
        <v>8.7999999999999995E-2</v>
      </c>
      <c r="I1192" s="1">
        <v>0.217</v>
      </c>
      <c r="J1192" s="1">
        <v>2</v>
      </c>
    </row>
    <row r="1193" spans="1:10" x14ac:dyDescent="0.2">
      <c r="A1193" s="1" t="s">
        <v>1389</v>
      </c>
      <c r="B1193" s="1" t="s">
        <v>1388</v>
      </c>
      <c r="C1193" s="1" t="s">
        <v>1387</v>
      </c>
      <c r="D1193" s="2" t="str">
        <f t="shared" si="18"/>
        <v>http://zfin.org/ZDB-GENE-041210-181</v>
      </c>
      <c r="E1193" s="1" t="s">
        <v>5544</v>
      </c>
      <c r="F1193" s="1">
        <v>1.32630840655791E-3</v>
      </c>
      <c r="G1193" s="1">
        <v>-0.334261812141329</v>
      </c>
      <c r="H1193" s="1">
        <v>0.13200000000000001</v>
      </c>
      <c r="I1193" s="1">
        <v>0.23300000000000001</v>
      </c>
      <c r="J1193" s="1">
        <v>2</v>
      </c>
    </row>
    <row r="1194" spans="1:10" x14ac:dyDescent="0.2">
      <c r="A1194" s="1" t="s">
        <v>3755</v>
      </c>
      <c r="B1194" s="1" t="s">
        <v>3754</v>
      </c>
      <c r="C1194" s="1" t="s">
        <v>3753</v>
      </c>
      <c r="D1194" s="2" t="str">
        <f t="shared" si="18"/>
        <v>http://zfin.org/ZDB-GENE-040426-2789</v>
      </c>
      <c r="E1194" s="1" t="s">
        <v>5543</v>
      </c>
      <c r="F1194" s="1">
        <v>2.1683019009588401E-2</v>
      </c>
      <c r="G1194" s="1">
        <v>-0.33423397241471597</v>
      </c>
      <c r="H1194" s="1">
        <v>0.21099999999999999</v>
      </c>
      <c r="I1194" s="1">
        <v>0.4</v>
      </c>
      <c r="J1194" s="1">
        <v>2</v>
      </c>
    </row>
    <row r="1195" spans="1:10" x14ac:dyDescent="0.2">
      <c r="A1195" s="1" t="s">
        <v>5542</v>
      </c>
      <c r="B1195" s="1" t="s">
        <v>5541</v>
      </c>
      <c r="C1195" s="1" t="s">
        <v>5540</v>
      </c>
      <c r="D1195" s="2" t="str">
        <f t="shared" si="18"/>
        <v>http://zfin.org/ZDB-GENE-040426-2439</v>
      </c>
      <c r="E1195" s="1" t="s">
        <v>5539</v>
      </c>
      <c r="F1195" s="1">
        <v>2.4712495237495902E-3</v>
      </c>
      <c r="G1195" s="1">
        <v>-0.334083124833217</v>
      </c>
      <c r="H1195" s="1">
        <v>1.7999999999999999E-2</v>
      </c>
      <c r="I1195" s="1">
        <v>0.15</v>
      </c>
      <c r="J1195" s="1">
        <v>2</v>
      </c>
    </row>
    <row r="1196" spans="1:10" x14ac:dyDescent="0.2">
      <c r="A1196" s="1" t="s">
        <v>5538</v>
      </c>
      <c r="B1196" s="1" t="s">
        <v>5537</v>
      </c>
      <c r="C1196" s="1" t="s">
        <v>5536</v>
      </c>
      <c r="D1196" s="2" t="str">
        <f t="shared" si="18"/>
        <v>http://zfin.org/ZDB-GENE-040718-115</v>
      </c>
      <c r="E1196" s="1" t="s">
        <v>5535</v>
      </c>
      <c r="F1196" s="1">
        <v>1.13681926987687E-2</v>
      </c>
      <c r="G1196" s="1">
        <v>-0.33387734433398097</v>
      </c>
      <c r="H1196" s="1">
        <v>0.184</v>
      </c>
      <c r="I1196" s="1">
        <v>0.36699999999999999</v>
      </c>
      <c r="J1196" s="1">
        <v>2</v>
      </c>
    </row>
    <row r="1197" spans="1:10" x14ac:dyDescent="0.2">
      <c r="A1197" s="1" t="s">
        <v>5534</v>
      </c>
      <c r="B1197" s="1" t="s">
        <v>5533</v>
      </c>
      <c r="C1197" s="1" t="s">
        <v>5532</v>
      </c>
      <c r="D1197" s="2" t="str">
        <f t="shared" si="18"/>
        <v>http://zfin.org/ZDB-GENE-030131-6110</v>
      </c>
      <c r="E1197" s="1" t="s">
        <v>5531</v>
      </c>
      <c r="F1197" s="1">
        <v>2.9530831967429402E-4</v>
      </c>
      <c r="G1197" s="1">
        <v>-0.33383041206512498</v>
      </c>
      <c r="H1197" s="1">
        <v>0.22800000000000001</v>
      </c>
      <c r="I1197" s="1">
        <v>0.3</v>
      </c>
      <c r="J1197" s="1">
        <v>2</v>
      </c>
    </row>
    <row r="1198" spans="1:10" x14ac:dyDescent="0.2">
      <c r="A1198" s="1" t="s">
        <v>5530</v>
      </c>
      <c r="B1198" s="1" t="s">
        <v>5529</v>
      </c>
      <c r="D1198" s="2" t="str">
        <f t="shared" si="18"/>
        <v>http://zfin.org/</v>
      </c>
      <c r="E1198" s="1" t="s">
        <v>4625</v>
      </c>
      <c r="F1198" s="1">
        <v>1.9936435246617101E-2</v>
      </c>
      <c r="G1198" s="1">
        <v>-0.33247153358050702</v>
      </c>
      <c r="H1198" s="1">
        <v>0.27200000000000002</v>
      </c>
      <c r="I1198" s="1">
        <v>0.36699999999999999</v>
      </c>
      <c r="J1198" s="1">
        <v>2</v>
      </c>
    </row>
    <row r="1199" spans="1:10" x14ac:dyDescent="0.2">
      <c r="A1199" s="1" t="s">
        <v>5528</v>
      </c>
      <c r="B1199" s="1" t="s">
        <v>5527</v>
      </c>
      <c r="C1199" s="1" t="s">
        <v>5526</v>
      </c>
      <c r="D1199" s="2" t="str">
        <f t="shared" si="18"/>
        <v>http://zfin.org/ZDB-GENE-040426-1573</v>
      </c>
      <c r="E1199" s="1" t="s">
        <v>5525</v>
      </c>
      <c r="F1199" s="1">
        <v>2.1501966486123601E-3</v>
      </c>
      <c r="G1199" s="1">
        <v>-0.33213002372953898</v>
      </c>
      <c r="H1199" s="1">
        <v>7.0000000000000007E-2</v>
      </c>
      <c r="I1199" s="1">
        <v>0.23300000000000001</v>
      </c>
      <c r="J1199" s="1">
        <v>2</v>
      </c>
    </row>
    <row r="1200" spans="1:10" x14ac:dyDescent="0.2">
      <c r="A1200" s="1" t="s">
        <v>5524</v>
      </c>
      <c r="B1200" s="1" t="s">
        <v>5523</v>
      </c>
      <c r="C1200" s="1" t="s">
        <v>5522</v>
      </c>
      <c r="D1200" s="2" t="str">
        <f t="shared" si="18"/>
        <v>http://zfin.org/ZDB-GENE-030429-1</v>
      </c>
      <c r="E1200" s="1" t="s">
        <v>5521</v>
      </c>
      <c r="F1200" s="1">
        <v>1.2130825125300699E-3</v>
      </c>
      <c r="G1200" s="1">
        <v>-0.33181833954654399</v>
      </c>
      <c r="H1200" s="1">
        <v>0.219</v>
      </c>
      <c r="I1200" s="1">
        <v>0.317</v>
      </c>
      <c r="J1200" s="1">
        <v>2</v>
      </c>
    </row>
    <row r="1201" spans="1:10" x14ac:dyDescent="0.2">
      <c r="A1201" s="1" t="s">
        <v>5520</v>
      </c>
      <c r="B1201" s="1" t="s">
        <v>5519</v>
      </c>
      <c r="C1201" s="1" t="s">
        <v>5518</v>
      </c>
      <c r="D1201" s="2" t="str">
        <f t="shared" si="18"/>
        <v>http://zfin.org/</v>
      </c>
      <c r="E1201" s="1" t="s">
        <v>4625</v>
      </c>
      <c r="F1201" s="1">
        <v>3.9396125250607499E-4</v>
      </c>
      <c r="G1201" s="1">
        <v>-0.33180204113977901</v>
      </c>
      <c r="H1201" s="1">
        <v>6.0999999999999999E-2</v>
      </c>
      <c r="I1201" s="1">
        <v>0.183</v>
      </c>
      <c r="J1201" s="1">
        <v>2</v>
      </c>
    </row>
    <row r="1202" spans="1:10" x14ac:dyDescent="0.2">
      <c r="A1202" s="1" t="s">
        <v>3336</v>
      </c>
      <c r="B1202" s="1" t="s">
        <v>3335</v>
      </c>
      <c r="C1202" s="1" t="s">
        <v>3334</v>
      </c>
      <c r="D1202" s="2" t="str">
        <f t="shared" si="18"/>
        <v>http://zfin.org/ZDB-GENE-060825-115</v>
      </c>
      <c r="E1202" s="1" t="s">
        <v>5517</v>
      </c>
      <c r="F1202" s="3">
        <v>6.3196389399310302E-6</v>
      </c>
      <c r="G1202" s="1">
        <v>-0.331568486766398</v>
      </c>
      <c r="H1202" s="1">
        <v>0.45600000000000002</v>
      </c>
      <c r="I1202" s="1">
        <v>0.48299999999999998</v>
      </c>
      <c r="J1202" s="1">
        <v>2</v>
      </c>
    </row>
    <row r="1203" spans="1:10" x14ac:dyDescent="0.2">
      <c r="A1203" s="1" t="s">
        <v>5516</v>
      </c>
      <c r="B1203" s="1" t="s">
        <v>5515</v>
      </c>
      <c r="C1203" s="1" t="s">
        <v>5514</v>
      </c>
      <c r="D1203" s="2" t="str">
        <f t="shared" si="18"/>
        <v>http://zfin.org/ZDB-GENE-040426-693</v>
      </c>
      <c r="E1203" s="1" t="s">
        <v>5513</v>
      </c>
      <c r="F1203" s="3">
        <v>4.3004175824703501E-5</v>
      </c>
      <c r="G1203" s="1">
        <v>-0.33106569091848298</v>
      </c>
      <c r="H1203" s="1">
        <v>0.377</v>
      </c>
      <c r="I1203" s="1">
        <v>0.46700000000000003</v>
      </c>
      <c r="J1203" s="1">
        <v>2</v>
      </c>
    </row>
    <row r="1204" spans="1:10" x14ac:dyDescent="0.2">
      <c r="A1204" s="1" t="s">
        <v>5512</v>
      </c>
      <c r="B1204" s="1" t="s">
        <v>5511</v>
      </c>
      <c r="C1204" s="1" t="s">
        <v>5510</v>
      </c>
      <c r="D1204" s="2" t="str">
        <f t="shared" si="18"/>
        <v>http://zfin.org/ZDB-GENE-050417-81</v>
      </c>
      <c r="E1204" s="1" t="s">
        <v>5509</v>
      </c>
      <c r="F1204" s="1">
        <v>9.6943493957037E-4</v>
      </c>
      <c r="G1204" s="1">
        <v>-0.33081791860127302</v>
      </c>
      <c r="H1204" s="1">
        <v>0.14899999999999999</v>
      </c>
      <c r="I1204" s="1">
        <v>0.3</v>
      </c>
      <c r="J1204" s="1">
        <v>2</v>
      </c>
    </row>
    <row r="1205" spans="1:10" x14ac:dyDescent="0.2">
      <c r="A1205" s="1" t="s">
        <v>1419</v>
      </c>
      <c r="B1205" s="1" t="s">
        <v>1418</v>
      </c>
      <c r="C1205" s="1" t="s">
        <v>1417</v>
      </c>
      <c r="D1205" s="2" t="str">
        <f t="shared" si="18"/>
        <v>http://zfin.org/ZDB-GENE-031113-9</v>
      </c>
      <c r="E1205" s="1" t="s">
        <v>5508</v>
      </c>
      <c r="F1205" s="3">
        <v>1.26715836208124E-5</v>
      </c>
      <c r="G1205" s="1">
        <v>-0.32982663531735401</v>
      </c>
      <c r="H1205" s="1">
        <v>0.41199999999999998</v>
      </c>
      <c r="I1205" s="1">
        <v>0.46700000000000003</v>
      </c>
      <c r="J1205" s="1">
        <v>2</v>
      </c>
    </row>
    <row r="1206" spans="1:10" x14ac:dyDescent="0.2">
      <c r="A1206" s="1" t="s">
        <v>5507</v>
      </c>
      <c r="B1206" s="1" t="s">
        <v>5506</v>
      </c>
      <c r="C1206" s="1" t="s">
        <v>5505</v>
      </c>
      <c r="D1206" s="2" t="str">
        <f t="shared" si="18"/>
        <v>http://zfin.org/ZDB-GENE-061215-112</v>
      </c>
      <c r="E1206" s="1" t="s">
        <v>5504</v>
      </c>
      <c r="F1206" s="1">
        <v>3.77405259441939E-4</v>
      </c>
      <c r="G1206" s="1">
        <v>-0.329799628817249</v>
      </c>
      <c r="H1206" s="1">
        <v>0.114</v>
      </c>
      <c r="I1206" s="1">
        <v>0.217</v>
      </c>
      <c r="J1206" s="1">
        <v>2</v>
      </c>
    </row>
    <row r="1207" spans="1:10" x14ac:dyDescent="0.2">
      <c r="A1207" s="1" t="s">
        <v>5503</v>
      </c>
      <c r="B1207" s="1" t="s">
        <v>5502</v>
      </c>
      <c r="C1207" s="1" t="s">
        <v>5501</v>
      </c>
      <c r="D1207" s="2" t="str">
        <f t="shared" si="18"/>
        <v>http://zfin.org/ZDB-GENE-040704-45</v>
      </c>
      <c r="E1207" s="1" t="s">
        <v>5500</v>
      </c>
      <c r="F1207" s="1">
        <v>4.4690965281781603E-4</v>
      </c>
      <c r="G1207" s="1">
        <v>-0.32965910153553502</v>
      </c>
      <c r="H1207" s="1">
        <v>5.2999999999999999E-2</v>
      </c>
      <c r="I1207" s="1">
        <v>0.2</v>
      </c>
      <c r="J1207" s="1">
        <v>2</v>
      </c>
    </row>
    <row r="1208" spans="1:10" x14ac:dyDescent="0.2">
      <c r="A1208" s="1" t="s">
        <v>5499</v>
      </c>
      <c r="B1208" s="1" t="s">
        <v>5498</v>
      </c>
      <c r="C1208" s="1" t="s">
        <v>5497</v>
      </c>
      <c r="D1208" s="2" t="str">
        <f t="shared" si="18"/>
        <v>http://zfin.org/ZDB-GENE-041114-109</v>
      </c>
      <c r="E1208" s="1" t="s">
        <v>5496</v>
      </c>
      <c r="F1208" s="3">
        <v>5.7755004513045698E-7</v>
      </c>
      <c r="G1208" s="1">
        <v>-0.329331387679976</v>
      </c>
      <c r="H1208" s="1">
        <v>0.377</v>
      </c>
      <c r="I1208" s="1">
        <v>0.36699999999999999</v>
      </c>
      <c r="J1208" s="1">
        <v>2</v>
      </c>
    </row>
    <row r="1209" spans="1:10" x14ac:dyDescent="0.2">
      <c r="A1209" s="1" t="s">
        <v>5495</v>
      </c>
      <c r="B1209" s="1" t="s">
        <v>5494</v>
      </c>
      <c r="C1209" s="1" t="s">
        <v>5493</v>
      </c>
      <c r="D1209" s="2" t="str">
        <f t="shared" si="18"/>
        <v>http://zfin.org/ZDB-GENE-061207-34</v>
      </c>
      <c r="E1209" s="1" t="s">
        <v>5492</v>
      </c>
      <c r="F1209" s="1">
        <v>2.2429247044049E-2</v>
      </c>
      <c r="G1209" s="1">
        <v>-0.32925269769501098</v>
      </c>
      <c r="H1209" s="1">
        <v>0.26300000000000001</v>
      </c>
      <c r="I1209" s="1">
        <v>0.46700000000000003</v>
      </c>
      <c r="J1209" s="1">
        <v>2</v>
      </c>
    </row>
    <row r="1210" spans="1:10" x14ac:dyDescent="0.2">
      <c r="A1210" s="1" t="s">
        <v>3743</v>
      </c>
      <c r="B1210" s="1" t="s">
        <v>3742</v>
      </c>
      <c r="C1210" s="1" t="s">
        <v>3741</v>
      </c>
      <c r="D1210" s="2" t="str">
        <f t="shared" si="18"/>
        <v>http://zfin.org/ZDB-GENE-021115-8</v>
      </c>
      <c r="E1210" s="1" t="s">
        <v>5491</v>
      </c>
      <c r="F1210" s="1">
        <v>2.07950369350306E-4</v>
      </c>
      <c r="G1210" s="1">
        <v>-0.329226244831058</v>
      </c>
      <c r="H1210" s="1">
        <v>0.254</v>
      </c>
      <c r="I1210" s="1">
        <v>0.36699999999999999</v>
      </c>
      <c r="J1210" s="1">
        <v>2</v>
      </c>
    </row>
    <row r="1211" spans="1:10" x14ac:dyDescent="0.2">
      <c r="A1211" s="1" t="s">
        <v>5490</v>
      </c>
      <c r="B1211" s="1" t="s">
        <v>5489</v>
      </c>
      <c r="C1211" s="1" t="s">
        <v>5488</v>
      </c>
      <c r="D1211" s="2" t="str">
        <f t="shared" si="18"/>
        <v>http://zfin.org/ZDB-GENE-030131-5316</v>
      </c>
      <c r="E1211" s="1" t="s">
        <v>5487</v>
      </c>
      <c r="F1211" s="3">
        <v>1.23904458035864E-5</v>
      </c>
      <c r="G1211" s="1">
        <v>-0.32919242516973102</v>
      </c>
      <c r="H1211" s="1">
        <v>0.114</v>
      </c>
      <c r="I1211" s="1">
        <v>0.25</v>
      </c>
      <c r="J1211" s="1">
        <v>2</v>
      </c>
    </row>
    <row r="1212" spans="1:10" x14ac:dyDescent="0.2">
      <c r="A1212" s="1" t="s">
        <v>5486</v>
      </c>
      <c r="B1212" s="1" t="s">
        <v>5485</v>
      </c>
      <c r="C1212" s="1" t="s">
        <v>5484</v>
      </c>
      <c r="D1212" s="2" t="str">
        <f t="shared" si="18"/>
        <v>http://zfin.org/ZDB-GENE-081113-4</v>
      </c>
      <c r="E1212" s="1" t="s">
        <v>5483</v>
      </c>
      <c r="F1212" s="1">
        <v>1.2460352753853E-3</v>
      </c>
      <c r="G1212" s="1">
        <v>-0.32916860654145602</v>
      </c>
      <c r="H1212" s="1">
        <v>4.3999999999999997E-2</v>
      </c>
      <c r="I1212" s="1">
        <v>0.25</v>
      </c>
      <c r="J1212" s="1">
        <v>2</v>
      </c>
    </row>
    <row r="1213" spans="1:10" x14ac:dyDescent="0.2">
      <c r="A1213" s="1" t="s">
        <v>5482</v>
      </c>
      <c r="B1213" s="1" t="s">
        <v>5481</v>
      </c>
      <c r="C1213" s="1" t="s">
        <v>5480</v>
      </c>
      <c r="D1213" s="2" t="str">
        <f t="shared" si="18"/>
        <v>http://zfin.org/ZDB-GENE-061103-493</v>
      </c>
      <c r="E1213" s="1" t="s">
        <v>5479</v>
      </c>
      <c r="F1213" s="1">
        <v>1.7691775145909699E-3</v>
      </c>
      <c r="G1213" s="1">
        <v>-0.32910889183851999</v>
      </c>
      <c r="H1213" s="1">
        <v>0.158</v>
      </c>
      <c r="I1213" s="1">
        <v>0.26700000000000002</v>
      </c>
      <c r="J1213" s="1">
        <v>2</v>
      </c>
    </row>
    <row r="1214" spans="1:10" x14ac:dyDescent="0.2">
      <c r="A1214" s="1" t="s">
        <v>5478</v>
      </c>
      <c r="B1214" s="1" t="s">
        <v>5477</v>
      </c>
      <c r="C1214" s="1" t="s">
        <v>5476</v>
      </c>
      <c r="D1214" s="2" t="str">
        <f t="shared" si="18"/>
        <v>http://zfin.org/ZDB-GENE-110411-22</v>
      </c>
      <c r="E1214" s="1" t="s">
        <v>5475</v>
      </c>
      <c r="F1214" s="3">
        <v>2.36993051554568E-6</v>
      </c>
      <c r="G1214" s="1">
        <v>-0.32839186704429801</v>
      </c>
      <c r="H1214" s="1">
        <v>1</v>
      </c>
      <c r="I1214" s="1">
        <v>0.96699999999999997</v>
      </c>
      <c r="J1214" s="1">
        <v>2</v>
      </c>
    </row>
    <row r="1215" spans="1:10" x14ac:dyDescent="0.2">
      <c r="A1215" s="1" t="s">
        <v>5474</v>
      </c>
      <c r="B1215" s="1" t="s">
        <v>5473</v>
      </c>
      <c r="C1215" s="1" t="s">
        <v>5472</v>
      </c>
      <c r="D1215" s="2" t="str">
        <f t="shared" si="18"/>
        <v>http://zfin.org/ZDB-GENE-050208-381</v>
      </c>
      <c r="E1215" s="1" t="s">
        <v>5471</v>
      </c>
      <c r="F1215" s="1">
        <v>2.1782973472753301E-3</v>
      </c>
      <c r="G1215" s="1">
        <v>-0.328288938897627</v>
      </c>
      <c r="H1215" s="1">
        <v>0.35099999999999998</v>
      </c>
      <c r="I1215" s="1">
        <v>0.48299999999999998</v>
      </c>
      <c r="J1215" s="1">
        <v>2</v>
      </c>
    </row>
    <row r="1216" spans="1:10" x14ac:dyDescent="0.2">
      <c r="A1216" s="1" t="s">
        <v>5470</v>
      </c>
      <c r="B1216" s="1" t="s">
        <v>5469</v>
      </c>
      <c r="C1216" s="1" t="s">
        <v>5468</v>
      </c>
      <c r="D1216" s="2" t="str">
        <f t="shared" si="18"/>
        <v>http://zfin.org/ZDB-GENE-040426-1136</v>
      </c>
      <c r="E1216" s="1" t="s">
        <v>5467</v>
      </c>
      <c r="F1216" s="1">
        <v>2.5830233296330302E-2</v>
      </c>
      <c r="G1216" s="1">
        <v>-0.32816972564364899</v>
      </c>
      <c r="H1216" s="1">
        <v>9.6000000000000002E-2</v>
      </c>
      <c r="I1216" s="1">
        <v>0.26700000000000002</v>
      </c>
      <c r="J1216" s="1">
        <v>2</v>
      </c>
    </row>
    <row r="1217" spans="1:10" x14ac:dyDescent="0.2">
      <c r="A1217" s="1" t="s">
        <v>5466</v>
      </c>
      <c r="B1217" s="1" t="s">
        <v>5465</v>
      </c>
      <c r="C1217" s="1" t="s">
        <v>5464</v>
      </c>
      <c r="D1217" s="2" t="str">
        <f t="shared" si="18"/>
        <v>http://zfin.org/ZDB-GENE-050913-85</v>
      </c>
      <c r="E1217" s="1" t="s">
        <v>5463</v>
      </c>
      <c r="F1217" s="1">
        <v>4.5576068028371297E-4</v>
      </c>
      <c r="G1217" s="1">
        <v>-0.32813574887135</v>
      </c>
      <c r="H1217" s="1">
        <v>0.14899999999999999</v>
      </c>
      <c r="I1217" s="1">
        <v>0.28299999999999997</v>
      </c>
      <c r="J1217" s="1">
        <v>2</v>
      </c>
    </row>
    <row r="1218" spans="1:10" x14ac:dyDescent="0.2">
      <c r="A1218" s="1" t="s">
        <v>5462</v>
      </c>
      <c r="B1218" s="1" t="s">
        <v>5461</v>
      </c>
      <c r="C1218" s="1" t="s">
        <v>5460</v>
      </c>
      <c r="D1218" s="2" t="str">
        <f t="shared" ref="D1218:D1281" si="19">HYPERLINK(E1218)</f>
        <v>http://zfin.org/ZDB-GENE-030131-5923</v>
      </c>
      <c r="E1218" s="1" t="s">
        <v>5459</v>
      </c>
      <c r="F1218" s="1">
        <v>9.0057483392182202E-4</v>
      </c>
      <c r="G1218" s="1">
        <v>-0.32800734278713101</v>
      </c>
      <c r="H1218" s="1">
        <v>0.23699999999999999</v>
      </c>
      <c r="I1218" s="1">
        <v>0.317</v>
      </c>
      <c r="J1218" s="1">
        <v>2</v>
      </c>
    </row>
    <row r="1219" spans="1:10" x14ac:dyDescent="0.2">
      <c r="A1219" s="1" t="s">
        <v>5458</v>
      </c>
      <c r="B1219" s="1" t="s">
        <v>5457</v>
      </c>
      <c r="C1219" s="1" t="s">
        <v>5456</v>
      </c>
      <c r="D1219" s="2" t="str">
        <f t="shared" si="19"/>
        <v>http://zfin.org/ZDB-GENE-030131-8451</v>
      </c>
      <c r="E1219" s="1" t="s">
        <v>5455</v>
      </c>
      <c r="F1219" s="1">
        <v>4.7817418279786701E-4</v>
      </c>
      <c r="G1219" s="1">
        <v>-0.32796968822296102</v>
      </c>
      <c r="H1219" s="1">
        <v>0.50900000000000001</v>
      </c>
      <c r="I1219" s="1">
        <v>0.53300000000000003</v>
      </c>
      <c r="J1219" s="1">
        <v>2</v>
      </c>
    </row>
    <row r="1220" spans="1:10" x14ac:dyDescent="0.2">
      <c r="A1220" s="1" t="s">
        <v>5454</v>
      </c>
      <c r="B1220" s="1" t="s">
        <v>5453</v>
      </c>
      <c r="C1220" s="1" t="s">
        <v>5452</v>
      </c>
      <c r="D1220" s="2" t="str">
        <f t="shared" si="19"/>
        <v>http://zfin.org/ZDB-GENE-050112-1</v>
      </c>
      <c r="E1220" s="1" t="s">
        <v>5451</v>
      </c>
      <c r="F1220" s="1">
        <v>1.72868963149801E-3</v>
      </c>
      <c r="G1220" s="1">
        <v>-0.32761954176807501</v>
      </c>
      <c r="H1220" s="1">
        <v>0.14000000000000001</v>
      </c>
      <c r="I1220" s="1">
        <v>0.28299999999999997</v>
      </c>
      <c r="J1220" s="1">
        <v>2</v>
      </c>
    </row>
    <row r="1221" spans="1:10" x14ac:dyDescent="0.2">
      <c r="A1221" s="1" t="s">
        <v>5450</v>
      </c>
      <c r="B1221" s="1" t="s">
        <v>5449</v>
      </c>
      <c r="C1221" s="1" t="s">
        <v>5448</v>
      </c>
      <c r="D1221" s="2" t="str">
        <f t="shared" si="19"/>
        <v>http://zfin.org/ZDB-GENE-040426-2904</v>
      </c>
      <c r="E1221" s="1" t="s">
        <v>5447</v>
      </c>
      <c r="F1221" s="1">
        <v>4.6291933705569898E-3</v>
      </c>
      <c r="G1221" s="1">
        <v>-0.327479569606898</v>
      </c>
      <c r="H1221" s="1">
        <v>0.21099999999999999</v>
      </c>
      <c r="I1221" s="1">
        <v>0.41699999999999998</v>
      </c>
      <c r="J1221" s="1">
        <v>2</v>
      </c>
    </row>
    <row r="1222" spans="1:10" x14ac:dyDescent="0.2">
      <c r="A1222" s="1" t="s">
        <v>5446</v>
      </c>
      <c r="B1222" s="1" t="s">
        <v>5445</v>
      </c>
      <c r="C1222" s="1" t="s">
        <v>5444</v>
      </c>
      <c r="D1222" s="2" t="str">
        <f t="shared" si="19"/>
        <v>http://zfin.org/ZDB-GENE-040426-1578</v>
      </c>
      <c r="E1222" s="1" t="s">
        <v>5443</v>
      </c>
      <c r="F1222" s="3">
        <v>6.5915189851337906E-5</v>
      </c>
      <c r="G1222" s="1">
        <v>-0.32656121538285898</v>
      </c>
      <c r="H1222" s="1">
        <v>0.16700000000000001</v>
      </c>
      <c r="I1222" s="1">
        <v>0.317</v>
      </c>
      <c r="J1222" s="1">
        <v>2</v>
      </c>
    </row>
    <row r="1223" spans="1:10" x14ac:dyDescent="0.2">
      <c r="A1223" s="1" t="s">
        <v>5442</v>
      </c>
      <c r="B1223" s="1" t="s">
        <v>5441</v>
      </c>
      <c r="C1223" s="1" t="s">
        <v>5440</v>
      </c>
      <c r="D1223" s="2" t="str">
        <f t="shared" si="19"/>
        <v>http://zfin.org/ZDB-GENE-030131-2861</v>
      </c>
      <c r="E1223" s="1" t="s">
        <v>5439</v>
      </c>
      <c r="F1223" s="3">
        <v>1.8631251529526999E-5</v>
      </c>
      <c r="G1223" s="1">
        <v>-0.32630552092724802</v>
      </c>
      <c r="H1223" s="1">
        <v>7.9000000000000001E-2</v>
      </c>
      <c r="I1223" s="1">
        <v>0.13300000000000001</v>
      </c>
      <c r="J1223" s="1">
        <v>2</v>
      </c>
    </row>
    <row r="1224" spans="1:10" x14ac:dyDescent="0.2">
      <c r="A1224" s="1" t="s">
        <v>3421</v>
      </c>
      <c r="B1224" s="1" t="s">
        <v>3420</v>
      </c>
      <c r="C1224" s="1" t="s">
        <v>3419</v>
      </c>
      <c r="D1224" s="2" t="str">
        <f t="shared" si="19"/>
        <v>http://zfin.org/ZDB-GENE-030131-4317</v>
      </c>
      <c r="E1224" s="1" t="s">
        <v>5438</v>
      </c>
      <c r="F1224" s="3">
        <v>1.1114703716776301E-5</v>
      </c>
      <c r="G1224" s="1">
        <v>-0.32626261899279602</v>
      </c>
      <c r="H1224" s="1">
        <v>0.623</v>
      </c>
      <c r="I1224" s="1">
        <v>0.61699999999999999</v>
      </c>
      <c r="J1224" s="1">
        <v>2</v>
      </c>
    </row>
    <row r="1225" spans="1:10" x14ac:dyDescent="0.2">
      <c r="A1225" s="1" t="s">
        <v>5437</v>
      </c>
      <c r="B1225" s="1" t="s">
        <v>5436</v>
      </c>
      <c r="C1225" s="1" t="s">
        <v>5435</v>
      </c>
      <c r="D1225" s="2" t="str">
        <f t="shared" si="19"/>
        <v>http://zfin.org/ZDB-GENE-030131-263</v>
      </c>
      <c r="E1225" s="1" t="s">
        <v>5434</v>
      </c>
      <c r="F1225" s="1">
        <v>1.0872373896332699E-4</v>
      </c>
      <c r="G1225" s="1">
        <v>-0.32578902731702297</v>
      </c>
      <c r="H1225" s="1">
        <v>9.6000000000000002E-2</v>
      </c>
      <c r="I1225" s="1">
        <v>0.217</v>
      </c>
      <c r="J1225" s="1">
        <v>2</v>
      </c>
    </row>
    <row r="1226" spans="1:10" x14ac:dyDescent="0.2">
      <c r="A1226" s="1" t="s">
        <v>5433</v>
      </c>
      <c r="B1226" s="1" t="s">
        <v>5432</v>
      </c>
      <c r="C1226" s="1" t="s">
        <v>5431</v>
      </c>
      <c r="D1226" s="2" t="str">
        <f t="shared" si="19"/>
        <v>http://zfin.org/ZDB-GENE-030131-2735</v>
      </c>
      <c r="E1226" s="1" t="s">
        <v>5430</v>
      </c>
      <c r="F1226" s="3">
        <v>6.1627192312809001E-6</v>
      </c>
      <c r="G1226" s="1">
        <v>-0.32568890591938399</v>
      </c>
      <c r="H1226" s="1">
        <v>0.69299999999999995</v>
      </c>
      <c r="I1226" s="1">
        <v>0.66700000000000004</v>
      </c>
      <c r="J1226" s="1">
        <v>2</v>
      </c>
    </row>
    <row r="1227" spans="1:10" x14ac:dyDescent="0.2">
      <c r="A1227" s="1" t="s">
        <v>5429</v>
      </c>
      <c r="B1227" s="1" t="s">
        <v>5428</v>
      </c>
      <c r="C1227" s="1" t="s">
        <v>5427</v>
      </c>
      <c r="D1227" s="2" t="str">
        <f t="shared" si="19"/>
        <v>http://zfin.org/ZDB-GENE-050506-101</v>
      </c>
      <c r="E1227" s="1" t="s">
        <v>5426</v>
      </c>
      <c r="F1227" s="1">
        <v>1.8656410308970101E-4</v>
      </c>
      <c r="G1227" s="1">
        <v>-0.32551450968176898</v>
      </c>
      <c r="H1227" s="1">
        <v>1.7999999999999999E-2</v>
      </c>
      <c r="I1227" s="1">
        <v>0.16700000000000001</v>
      </c>
      <c r="J1227" s="1">
        <v>2</v>
      </c>
    </row>
    <row r="1228" spans="1:10" x14ac:dyDescent="0.2">
      <c r="A1228" s="1" t="s">
        <v>5425</v>
      </c>
      <c r="B1228" s="1" t="s">
        <v>5424</v>
      </c>
      <c r="C1228" s="1" t="s">
        <v>5423</v>
      </c>
      <c r="D1228" s="2" t="str">
        <f t="shared" si="19"/>
        <v>http://zfin.org/ZDB-GENE-020205-1</v>
      </c>
      <c r="E1228" s="1" t="s">
        <v>5422</v>
      </c>
      <c r="F1228" s="1">
        <v>1.8069899835431699E-4</v>
      </c>
      <c r="G1228" s="1">
        <v>-0.32539425506877501</v>
      </c>
      <c r="H1228" s="1">
        <v>6.0999999999999999E-2</v>
      </c>
      <c r="I1228" s="1">
        <v>0.183</v>
      </c>
      <c r="J1228" s="1">
        <v>2</v>
      </c>
    </row>
    <row r="1229" spans="1:10" x14ac:dyDescent="0.2">
      <c r="A1229" s="1" t="s">
        <v>5421</v>
      </c>
      <c r="B1229" s="1" t="s">
        <v>5420</v>
      </c>
      <c r="C1229" s="1" t="s">
        <v>5419</v>
      </c>
      <c r="D1229" s="2" t="str">
        <f t="shared" si="19"/>
        <v>http://zfin.org/ZDB-GENE-040426-2649</v>
      </c>
      <c r="E1229" s="1" t="s">
        <v>5418</v>
      </c>
      <c r="F1229" s="1">
        <v>3.3154691014003301E-3</v>
      </c>
      <c r="G1229" s="1">
        <v>-0.32478851684672</v>
      </c>
      <c r="H1229" s="1">
        <v>0.123</v>
      </c>
      <c r="I1229" s="1">
        <v>0.26700000000000002</v>
      </c>
      <c r="J1229" s="1">
        <v>2</v>
      </c>
    </row>
    <row r="1230" spans="1:10" x14ac:dyDescent="0.2">
      <c r="A1230" s="1" t="s">
        <v>5417</v>
      </c>
      <c r="B1230" s="1" t="s">
        <v>5416</v>
      </c>
      <c r="C1230" s="1" t="s">
        <v>5415</v>
      </c>
      <c r="D1230" s="2" t="str">
        <f t="shared" si="19"/>
        <v>http://zfin.org/ZDB-GENE-031113-19</v>
      </c>
      <c r="E1230" s="1" t="s">
        <v>5414</v>
      </c>
      <c r="F1230" s="3">
        <v>9.6581239229246204E-7</v>
      </c>
      <c r="G1230" s="1">
        <v>-0.32419643193469999</v>
      </c>
      <c r="H1230" s="1">
        <v>0.316</v>
      </c>
      <c r="I1230" s="1">
        <v>0.35</v>
      </c>
      <c r="J1230" s="1">
        <v>2</v>
      </c>
    </row>
    <row r="1231" spans="1:10" x14ac:dyDescent="0.2">
      <c r="A1231" s="1" t="s">
        <v>5413</v>
      </c>
      <c r="B1231" s="1" t="s">
        <v>5412</v>
      </c>
      <c r="C1231" s="1" t="s">
        <v>5411</v>
      </c>
      <c r="D1231" s="2" t="str">
        <f t="shared" si="19"/>
        <v>http://zfin.org/ZDB-GENE-030131-898</v>
      </c>
      <c r="E1231" s="1" t="s">
        <v>5410</v>
      </c>
      <c r="F1231" s="1">
        <v>7.8757605115431006E-2</v>
      </c>
      <c r="G1231" s="1">
        <v>-0.324193136168551</v>
      </c>
      <c r="H1231" s="1">
        <v>5.2999999999999999E-2</v>
      </c>
      <c r="I1231" s="1">
        <v>0.16700000000000001</v>
      </c>
      <c r="J1231" s="1">
        <v>2</v>
      </c>
    </row>
    <row r="1232" spans="1:10" x14ac:dyDescent="0.2">
      <c r="A1232" s="1" t="s">
        <v>68</v>
      </c>
      <c r="B1232" s="1" t="s">
        <v>67</v>
      </c>
      <c r="C1232" s="1" t="s">
        <v>69</v>
      </c>
      <c r="D1232" s="2" t="str">
        <f t="shared" si="19"/>
        <v>http://zfin.org/ZDB-GENE-040426-2666</v>
      </c>
      <c r="E1232" s="1" t="s">
        <v>5409</v>
      </c>
      <c r="F1232" s="1">
        <v>1.3750349893398099E-4</v>
      </c>
      <c r="G1232" s="1">
        <v>-0.32378286783552401</v>
      </c>
      <c r="H1232" s="1">
        <v>0.877</v>
      </c>
      <c r="I1232" s="1">
        <v>0.73299999999999998</v>
      </c>
      <c r="J1232" s="1">
        <v>2</v>
      </c>
    </row>
    <row r="1233" spans="1:10" x14ac:dyDescent="0.2">
      <c r="A1233" s="1" t="s">
        <v>2291</v>
      </c>
      <c r="B1233" s="1" t="s">
        <v>2290</v>
      </c>
      <c r="C1233" s="1" t="s">
        <v>2289</v>
      </c>
      <c r="D1233" s="2" t="str">
        <f t="shared" si="19"/>
        <v>http://zfin.org/ZDB-GENE-000210-8</v>
      </c>
      <c r="E1233" s="1" t="s">
        <v>5408</v>
      </c>
      <c r="F1233" s="1">
        <v>2.08121901363729E-2</v>
      </c>
      <c r="G1233" s="1">
        <v>-0.32365838874492597</v>
      </c>
      <c r="H1233" s="1">
        <v>0.16700000000000001</v>
      </c>
      <c r="I1233" s="1">
        <v>0.217</v>
      </c>
      <c r="J1233" s="1">
        <v>2</v>
      </c>
    </row>
    <row r="1234" spans="1:10" x14ac:dyDescent="0.2">
      <c r="A1234" s="1" t="s">
        <v>3522</v>
      </c>
      <c r="B1234" s="1" t="s">
        <v>3521</v>
      </c>
      <c r="C1234" s="1" t="s">
        <v>3520</v>
      </c>
      <c r="D1234" s="2" t="str">
        <f t="shared" si="19"/>
        <v>http://zfin.org/ZDB-GENE-050522-492</v>
      </c>
      <c r="E1234" s="1" t="s">
        <v>5407</v>
      </c>
      <c r="F1234" s="1">
        <v>1.3183010086374599E-3</v>
      </c>
      <c r="G1234" s="1">
        <v>-0.32354200568302799</v>
      </c>
      <c r="H1234" s="1">
        <v>7.9000000000000001E-2</v>
      </c>
      <c r="I1234" s="1">
        <v>0.2</v>
      </c>
      <c r="J1234" s="1">
        <v>2</v>
      </c>
    </row>
    <row r="1235" spans="1:10" x14ac:dyDescent="0.2">
      <c r="A1235" s="1" t="s">
        <v>5406</v>
      </c>
      <c r="B1235" s="1" t="s">
        <v>5405</v>
      </c>
      <c r="C1235" s="1" t="s">
        <v>5404</v>
      </c>
      <c r="D1235" s="2" t="str">
        <f t="shared" si="19"/>
        <v>http://zfin.org/ZDB-GENE-060503-447</v>
      </c>
      <c r="E1235" s="1" t="s">
        <v>5403</v>
      </c>
      <c r="F1235" s="1">
        <v>7.7691253529022404E-3</v>
      </c>
      <c r="G1235" s="1">
        <v>-0.32283202143144601</v>
      </c>
      <c r="H1235" s="1">
        <v>6.0999999999999999E-2</v>
      </c>
      <c r="I1235" s="1">
        <v>0.183</v>
      </c>
      <c r="J1235" s="1">
        <v>2</v>
      </c>
    </row>
    <row r="1236" spans="1:10" x14ac:dyDescent="0.2">
      <c r="A1236" s="1" t="s">
        <v>1816</v>
      </c>
      <c r="B1236" s="1" t="s">
        <v>1815</v>
      </c>
      <c r="C1236" s="1" t="s">
        <v>1814</v>
      </c>
      <c r="D1236" s="2" t="str">
        <f t="shared" si="19"/>
        <v>http://zfin.org/ZDB-GENE-081022-158</v>
      </c>
      <c r="E1236" s="1" t="s">
        <v>5402</v>
      </c>
      <c r="F1236" s="1">
        <v>2.07149557558392E-2</v>
      </c>
      <c r="G1236" s="1">
        <v>-0.32244280591879299</v>
      </c>
      <c r="H1236" s="1">
        <v>0.21099999999999999</v>
      </c>
      <c r="I1236" s="1">
        <v>0.28299999999999997</v>
      </c>
      <c r="J1236" s="1">
        <v>2</v>
      </c>
    </row>
    <row r="1237" spans="1:10" x14ac:dyDescent="0.2">
      <c r="A1237" s="1" t="s">
        <v>5401</v>
      </c>
      <c r="B1237" s="1" t="s">
        <v>5400</v>
      </c>
      <c r="C1237" s="1" t="s">
        <v>5399</v>
      </c>
      <c r="D1237" s="2" t="str">
        <f t="shared" si="19"/>
        <v>http://zfin.org/ZDB-GENE-040718-278</v>
      </c>
      <c r="E1237" s="1" t="s">
        <v>5398</v>
      </c>
      <c r="F1237" s="1">
        <v>1.73414110097048E-3</v>
      </c>
      <c r="G1237" s="1">
        <v>-0.32199978738564999</v>
      </c>
      <c r="H1237" s="1">
        <v>0.307</v>
      </c>
      <c r="I1237" s="1">
        <v>0.35</v>
      </c>
      <c r="J1237" s="1">
        <v>2</v>
      </c>
    </row>
    <row r="1238" spans="1:10" x14ac:dyDescent="0.2">
      <c r="A1238" s="1" t="s">
        <v>5397</v>
      </c>
      <c r="B1238" s="1" t="s">
        <v>5396</v>
      </c>
      <c r="C1238" s="1" t="s">
        <v>5395</v>
      </c>
      <c r="D1238" s="2" t="str">
        <f t="shared" si="19"/>
        <v>http://zfin.org/ZDB-GENE-040426-2643</v>
      </c>
      <c r="E1238" s="1" t="s">
        <v>5394</v>
      </c>
      <c r="F1238" s="3">
        <v>2.1284226775711901E-6</v>
      </c>
      <c r="G1238" s="1">
        <v>-0.32182275440696301</v>
      </c>
      <c r="H1238" s="1">
        <v>0.73699999999999999</v>
      </c>
      <c r="I1238" s="1">
        <v>0.66700000000000004</v>
      </c>
      <c r="J1238" s="1">
        <v>2</v>
      </c>
    </row>
    <row r="1239" spans="1:10" x14ac:dyDescent="0.2">
      <c r="A1239" s="1" t="s">
        <v>5393</v>
      </c>
      <c r="B1239" s="1" t="s">
        <v>5392</v>
      </c>
      <c r="C1239" s="1" t="s">
        <v>5391</v>
      </c>
      <c r="D1239" s="2" t="str">
        <f t="shared" si="19"/>
        <v>http://zfin.org/ZDB-GENE-060503-322</v>
      </c>
      <c r="E1239" s="1" t="s">
        <v>5390</v>
      </c>
      <c r="F1239" s="1">
        <v>2.8231658557335798E-3</v>
      </c>
      <c r="G1239" s="1">
        <v>-0.32153339981884599</v>
      </c>
      <c r="H1239" s="1">
        <v>2.5999999999999999E-2</v>
      </c>
      <c r="I1239" s="1">
        <v>0.13300000000000001</v>
      </c>
      <c r="J1239" s="1">
        <v>2</v>
      </c>
    </row>
    <row r="1240" spans="1:10" x14ac:dyDescent="0.2">
      <c r="A1240" s="1" t="s">
        <v>5389</v>
      </c>
      <c r="B1240" s="1" t="s">
        <v>5388</v>
      </c>
      <c r="C1240" s="1" t="s">
        <v>5387</v>
      </c>
      <c r="D1240" s="2" t="str">
        <f t="shared" si="19"/>
        <v>http://zfin.org/ZDB-GENE-050320-39</v>
      </c>
      <c r="E1240" s="1" t="s">
        <v>5386</v>
      </c>
      <c r="F1240" s="3">
        <v>5.6458982852855601E-5</v>
      </c>
      <c r="G1240" s="1">
        <v>-0.32136296230073702</v>
      </c>
      <c r="H1240" s="1">
        <v>0.28100000000000003</v>
      </c>
      <c r="I1240" s="1">
        <v>0.35</v>
      </c>
      <c r="J1240" s="1">
        <v>2</v>
      </c>
    </row>
    <row r="1241" spans="1:10" x14ac:dyDescent="0.2">
      <c r="A1241" s="1" t="s">
        <v>3321</v>
      </c>
      <c r="B1241" s="1" t="s">
        <v>3320</v>
      </c>
      <c r="C1241" s="1" t="s">
        <v>3319</v>
      </c>
      <c r="D1241" s="2" t="str">
        <f t="shared" si="19"/>
        <v>http://zfin.org/ZDB-GENE-040426-915</v>
      </c>
      <c r="E1241" s="1" t="s">
        <v>5385</v>
      </c>
      <c r="F1241" s="1">
        <v>3.6919868238028098E-3</v>
      </c>
      <c r="G1241" s="1">
        <v>-0.319809007664697</v>
      </c>
      <c r="H1241" s="1">
        <v>0.51800000000000002</v>
      </c>
      <c r="I1241" s="1">
        <v>0.58299999999999996</v>
      </c>
      <c r="J1241" s="1">
        <v>2</v>
      </c>
    </row>
    <row r="1242" spans="1:10" x14ac:dyDescent="0.2">
      <c r="A1242" s="1" t="s">
        <v>5384</v>
      </c>
      <c r="B1242" s="1" t="s">
        <v>5383</v>
      </c>
      <c r="C1242" s="1" t="s">
        <v>5382</v>
      </c>
      <c r="D1242" s="2" t="str">
        <f t="shared" si="19"/>
        <v>http://zfin.org/ZDB-GENE-030131-6137</v>
      </c>
      <c r="E1242" s="1" t="s">
        <v>5381</v>
      </c>
      <c r="F1242" s="1">
        <v>2.2671281384894701E-3</v>
      </c>
      <c r="G1242" s="1">
        <v>-0.31924916751617199</v>
      </c>
      <c r="H1242" s="1">
        <v>0.45600000000000002</v>
      </c>
      <c r="I1242" s="1">
        <v>0.55000000000000004</v>
      </c>
      <c r="J1242" s="1">
        <v>2</v>
      </c>
    </row>
    <row r="1243" spans="1:10" x14ac:dyDescent="0.2">
      <c r="A1243" s="1" t="s">
        <v>5380</v>
      </c>
      <c r="B1243" s="1" t="s">
        <v>5379</v>
      </c>
      <c r="C1243" s="1" t="s">
        <v>5378</v>
      </c>
      <c r="D1243" s="2" t="str">
        <f t="shared" si="19"/>
        <v>http://zfin.org/</v>
      </c>
      <c r="E1243" s="1" t="s">
        <v>4625</v>
      </c>
      <c r="F1243" s="1">
        <v>1.58910999460248E-3</v>
      </c>
      <c r="G1243" s="1">
        <v>-0.31884702586505698</v>
      </c>
      <c r="H1243" s="1">
        <v>0.158</v>
      </c>
      <c r="I1243" s="1">
        <v>0.26700000000000002</v>
      </c>
      <c r="J1243" s="1">
        <v>2</v>
      </c>
    </row>
    <row r="1244" spans="1:10" x14ac:dyDescent="0.2">
      <c r="A1244" s="1" t="s">
        <v>5377</v>
      </c>
      <c r="B1244" s="1" t="s">
        <v>5376</v>
      </c>
      <c r="C1244" s="1" t="s">
        <v>5375</v>
      </c>
      <c r="D1244" s="2" t="str">
        <f t="shared" si="19"/>
        <v>http://zfin.org/ZDB-GENE-030131-8049</v>
      </c>
      <c r="E1244" s="1" t="s">
        <v>5374</v>
      </c>
      <c r="F1244" s="1">
        <v>1.6996312906552801E-3</v>
      </c>
      <c r="G1244" s="1">
        <v>-0.31843474591186899</v>
      </c>
      <c r="H1244" s="1">
        <v>0.32500000000000001</v>
      </c>
      <c r="I1244" s="1">
        <v>0.433</v>
      </c>
      <c r="J1244" s="1">
        <v>2</v>
      </c>
    </row>
    <row r="1245" spans="1:10" x14ac:dyDescent="0.2">
      <c r="A1245" s="1" t="s">
        <v>5373</v>
      </c>
      <c r="B1245" s="1" t="s">
        <v>5372</v>
      </c>
      <c r="C1245" s="1" t="s">
        <v>5371</v>
      </c>
      <c r="D1245" s="2" t="str">
        <f t="shared" si="19"/>
        <v>http://zfin.org/ZDB-GENE-040801-126</v>
      </c>
      <c r="E1245" s="1" t="s">
        <v>5370</v>
      </c>
      <c r="F1245" s="1">
        <v>4.6172504996367303E-3</v>
      </c>
      <c r="G1245" s="1">
        <v>-0.31785340814740498</v>
      </c>
      <c r="H1245" s="1">
        <v>0.254</v>
      </c>
      <c r="I1245" s="1">
        <v>0.35</v>
      </c>
      <c r="J1245" s="1">
        <v>2</v>
      </c>
    </row>
    <row r="1246" spans="1:10" x14ac:dyDescent="0.2">
      <c r="A1246" s="1" t="s">
        <v>5369</v>
      </c>
      <c r="B1246" s="1" t="s">
        <v>5368</v>
      </c>
      <c r="C1246" s="1" t="s">
        <v>5367</v>
      </c>
      <c r="D1246" s="2" t="str">
        <f t="shared" si="19"/>
        <v>http://zfin.org/ZDB-GENE-040426-980</v>
      </c>
      <c r="E1246" s="1" t="s">
        <v>5366</v>
      </c>
      <c r="F1246" s="3">
        <v>1.4748576129897301E-5</v>
      </c>
      <c r="G1246" s="1">
        <v>-0.31776499300154598</v>
      </c>
      <c r="H1246" s="1">
        <v>0.35099999999999998</v>
      </c>
      <c r="I1246" s="1">
        <v>0.433</v>
      </c>
      <c r="J1246" s="1">
        <v>2</v>
      </c>
    </row>
    <row r="1247" spans="1:10" x14ac:dyDescent="0.2">
      <c r="A1247" s="1" t="s">
        <v>540</v>
      </c>
      <c r="B1247" s="1" t="s">
        <v>539</v>
      </c>
      <c r="C1247" s="1" t="s">
        <v>538</v>
      </c>
      <c r="D1247" s="2" t="str">
        <f t="shared" si="19"/>
        <v>http://zfin.org/ZDB-GENE-010718-1</v>
      </c>
      <c r="E1247" s="1" t="s">
        <v>5365</v>
      </c>
      <c r="F1247" s="1">
        <v>2.82417808473448E-4</v>
      </c>
      <c r="G1247" s="1">
        <v>-0.31759735665747801</v>
      </c>
      <c r="H1247" s="1">
        <v>0.82499999999999996</v>
      </c>
      <c r="I1247" s="1">
        <v>0.78300000000000003</v>
      </c>
      <c r="J1247" s="1">
        <v>2</v>
      </c>
    </row>
    <row r="1248" spans="1:10" x14ac:dyDescent="0.2">
      <c r="A1248" s="1" t="s">
        <v>5364</v>
      </c>
      <c r="B1248" s="1" t="s">
        <v>5363</v>
      </c>
      <c r="C1248" s="1" t="s">
        <v>5362</v>
      </c>
      <c r="D1248" s="2" t="str">
        <f t="shared" si="19"/>
        <v>http://zfin.org/ZDB-GENE-030131-5512</v>
      </c>
      <c r="E1248" s="1" t="s">
        <v>5361</v>
      </c>
      <c r="F1248" s="1">
        <v>5.0712726776523404E-3</v>
      </c>
      <c r="G1248" s="1">
        <v>-0.31727166304247101</v>
      </c>
      <c r="H1248" s="1">
        <v>0.219</v>
      </c>
      <c r="I1248" s="1">
        <v>0.36699999999999999</v>
      </c>
      <c r="J1248" s="1">
        <v>2</v>
      </c>
    </row>
    <row r="1249" spans="1:10" x14ac:dyDescent="0.2">
      <c r="A1249" s="1" t="s">
        <v>5360</v>
      </c>
      <c r="B1249" s="1" t="s">
        <v>5359</v>
      </c>
      <c r="C1249" s="1" t="s">
        <v>5358</v>
      </c>
      <c r="D1249" s="2" t="str">
        <f t="shared" si="19"/>
        <v>http://zfin.org/ZDB-GENE-040426-2534</v>
      </c>
      <c r="E1249" s="1" t="s">
        <v>5357</v>
      </c>
      <c r="F1249" s="1">
        <v>1.2028207924891701E-3</v>
      </c>
      <c r="G1249" s="1">
        <v>-0.31719178094927197</v>
      </c>
      <c r="H1249" s="1">
        <v>0.95599999999999996</v>
      </c>
      <c r="I1249" s="1">
        <v>0.91700000000000004</v>
      </c>
      <c r="J1249" s="1">
        <v>2</v>
      </c>
    </row>
    <row r="1250" spans="1:10" x14ac:dyDescent="0.2">
      <c r="A1250" s="1" t="s">
        <v>5356</v>
      </c>
      <c r="B1250" s="1" t="s">
        <v>5355</v>
      </c>
      <c r="C1250" s="1" t="s">
        <v>5354</v>
      </c>
      <c r="D1250" s="2" t="str">
        <f t="shared" si="19"/>
        <v>http://zfin.org/ZDB-GENE-030131-457</v>
      </c>
      <c r="E1250" s="1" t="s">
        <v>5353</v>
      </c>
      <c r="F1250" s="1">
        <v>3.0563653643482101E-3</v>
      </c>
      <c r="G1250" s="1">
        <v>-0.316573803976335</v>
      </c>
      <c r="H1250" s="1">
        <v>0.21099999999999999</v>
      </c>
      <c r="I1250" s="1">
        <v>0.33300000000000002</v>
      </c>
      <c r="J1250" s="1">
        <v>2</v>
      </c>
    </row>
    <row r="1251" spans="1:10" x14ac:dyDescent="0.2">
      <c r="A1251" s="1" t="s">
        <v>4203</v>
      </c>
      <c r="B1251" s="1" t="s">
        <v>4202</v>
      </c>
      <c r="C1251" s="1" t="s">
        <v>4201</v>
      </c>
      <c r="D1251" s="2" t="str">
        <f t="shared" si="19"/>
        <v>http://zfin.org/ZDB-GENE-040930-1</v>
      </c>
      <c r="E1251" s="1" t="s">
        <v>5352</v>
      </c>
      <c r="F1251" s="1">
        <v>3.0061227070323299E-2</v>
      </c>
      <c r="G1251" s="1">
        <v>-0.31656321385930603</v>
      </c>
      <c r="H1251" s="1">
        <v>0.27200000000000002</v>
      </c>
      <c r="I1251" s="1">
        <v>0.41699999999999998</v>
      </c>
      <c r="J1251" s="1">
        <v>2</v>
      </c>
    </row>
    <row r="1252" spans="1:10" x14ac:dyDescent="0.2">
      <c r="A1252" s="1" t="s">
        <v>3740</v>
      </c>
      <c r="B1252" s="1" t="s">
        <v>3739</v>
      </c>
      <c r="C1252" s="1" t="s">
        <v>3738</v>
      </c>
      <c r="D1252" s="2" t="str">
        <f t="shared" si="19"/>
        <v>http://zfin.org/ZDB-GENE-040426-960</v>
      </c>
      <c r="E1252" s="1" t="s">
        <v>5351</v>
      </c>
      <c r="F1252" s="1">
        <v>5.1835715987493397E-3</v>
      </c>
      <c r="G1252" s="1">
        <v>-0.31640001763407899</v>
      </c>
      <c r="H1252" s="1">
        <v>0.13200000000000001</v>
      </c>
      <c r="I1252" s="1">
        <v>0.28299999999999997</v>
      </c>
      <c r="J1252" s="1">
        <v>2</v>
      </c>
    </row>
    <row r="1253" spans="1:10" x14ac:dyDescent="0.2">
      <c r="A1253" s="1" t="s">
        <v>5350</v>
      </c>
      <c r="B1253" s="1" t="s">
        <v>5349</v>
      </c>
      <c r="C1253" s="1" t="s">
        <v>5348</v>
      </c>
      <c r="D1253" s="2" t="str">
        <f t="shared" si="19"/>
        <v>http://zfin.org/ZDB-GENE-040426-2681</v>
      </c>
      <c r="E1253" s="1" t="s">
        <v>5347</v>
      </c>
      <c r="F1253" s="1">
        <v>3.12207657690136E-2</v>
      </c>
      <c r="G1253" s="1">
        <v>-0.31584679265478499</v>
      </c>
      <c r="H1253" s="1">
        <v>6.0999999999999999E-2</v>
      </c>
      <c r="I1253" s="1">
        <v>0.16700000000000001</v>
      </c>
      <c r="J1253" s="1">
        <v>2</v>
      </c>
    </row>
    <row r="1254" spans="1:10" x14ac:dyDescent="0.2">
      <c r="A1254" s="1" t="s">
        <v>5346</v>
      </c>
      <c r="B1254" s="1" t="s">
        <v>5345</v>
      </c>
      <c r="C1254" s="1" t="s">
        <v>5344</v>
      </c>
      <c r="D1254" s="2" t="str">
        <f t="shared" si="19"/>
        <v>http://zfin.org/ZDB-GENE-121120-2</v>
      </c>
      <c r="E1254" s="1" t="s">
        <v>5343</v>
      </c>
      <c r="F1254" s="3">
        <v>1.65135579517766E-7</v>
      </c>
      <c r="G1254" s="1">
        <v>-0.31554853979037101</v>
      </c>
      <c r="H1254" s="1">
        <v>0.114</v>
      </c>
      <c r="I1254" s="1">
        <v>0.13300000000000001</v>
      </c>
      <c r="J1254" s="1">
        <v>2</v>
      </c>
    </row>
    <row r="1255" spans="1:10" x14ac:dyDescent="0.2">
      <c r="A1255" s="1" t="s">
        <v>5342</v>
      </c>
      <c r="B1255" s="1" t="s">
        <v>5341</v>
      </c>
      <c r="C1255" s="1" t="s">
        <v>5340</v>
      </c>
      <c r="D1255" s="2" t="str">
        <f t="shared" si="19"/>
        <v>http://zfin.org/ZDB-GENE-050522-256</v>
      </c>
      <c r="E1255" s="1" t="s">
        <v>5339</v>
      </c>
      <c r="F1255" s="3">
        <v>7.9829790035788699E-5</v>
      </c>
      <c r="G1255" s="1">
        <v>-0.315285238600997</v>
      </c>
      <c r="H1255" s="1">
        <v>2.5999999999999999E-2</v>
      </c>
      <c r="I1255" s="1">
        <v>0.2</v>
      </c>
      <c r="J1255" s="1">
        <v>2</v>
      </c>
    </row>
    <row r="1256" spans="1:10" x14ac:dyDescent="0.2">
      <c r="A1256" s="1" t="s">
        <v>1534</v>
      </c>
      <c r="B1256" s="1" t="s">
        <v>1533</v>
      </c>
      <c r="C1256" s="1" t="s">
        <v>1532</v>
      </c>
      <c r="D1256" s="2" t="str">
        <f t="shared" si="19"/>
        <v>http://zfin.org/ZDB-GENE-020731-5</v>
      </c>
      <c r="E1256" s="1" t="s">
        <v>5338</v>
      </c>
      <c r="F1256" s="3">
        <v>2.11954137623972E-6</v>
      </c>
      <c r="G1256" s="1">
        <v>-0.31505566384960598</v>
      </c>
      <c r="H1256" s="1">
        <v>0.95599999999999996</v>
      </c>
      <c r="I1256" s="1">
        <v>0.88300000000000001</v>
      </c>
      <c r="J1256" s="1">
        <v>2</v>
      </c>
    </row>
    <row r="1257" spans="1:10" x14ac:dyDescent="0.2">
      <c r="A1257" s="1" t="s">
        <v>5337</v>
      </c>
      <c r="B1257" s="1" t="s">
        <v>5336</v>
      </c>
      <c r="C1257" s="1" t="s">
        <v>5335</v>
      </c>
      <c r="D1257" s="2" t="str">
        <f t="shared" si="19"/>
        <v>http://zfin.org/ZDB-GENE-050522-167</v>
      </c>
      <c r="E1257" s="1" t="s">
        <v>5334</v>
      </c>
      <c r="F1257" s="3">
        <v>2.5938477870234301E-5</v>
      </c>
      <c r="G1257" s="1">
        <v>-0.31479372963456898</v>
      </c>
      <c r="H1257" s="1">
        <v>0.28100000000000003</v>
      </c>
      <c r="I1257" s="1">
        <v>0.33300000000000002</v>
      </c>
      <c r="J1257" s="1">
        <v>2</v>
      </c>
    </row>
    <row r="1258" spans="1:10" x14ac:dyDescent="0.2">
      <c r="A1258" s="1" t="s">
        <v>5333</v>
      </c>
      <c r="B1258" s="1" t="s">
        <v>5332</v>
      </c>
      <c r="C1258" s="1" t="s">
        <v>5331</v>
      </c>
      <c r="D1258" s="2" t="str">
        <f t="shared" si="19"/>
        <v>http://zfin.org/ZDB-GENE-030131-1016</v>
      </c>
      <c r="E1258" s="1" t="s">
        <v>5330</v>
      </c>
      <c r="F1258" s="1">
        <v>2.0024778213590499E-2</v>
      </c>
      <c r="G1258" s="1">
        <v>-0.31431193700045001</v>
      </c>
      <c r="H1258" s="1">
        <v>0.20200000000000001</v>
      </c>
      <c r="I1258" s="1">
        <v>0.3</v>
      </c>
      <c r="J1258" s="1">
        <v>2</v>
      </c>
    </row>
    <row r="1259" spans="1:10" x14ac:dyDescent="0.2">
      <c r="A1259" s="1" t="s">
        <v>5329</v>
      </c>
      <c r="B1259" s="1" t="s">
        <v>5328</v>
      </c>
      <c r="C1259" s="1" t="s">
        <v>5327</v>
      </c>
      <c r="D1259" s="2" t="str">
        <f t="shared" si="19"/>
        <v>http://zfin.org/ZDB-GENE-040426-1024</v>
      </c>
      <c r="E1259" s="1" t="s">
        <v>5326</v>
      </c>
      <c r="F1259" s="1">
        <v>3.5394566744634703E-2</v>
      </c>
      <c r="G1259" s="1">
        <v>-0.314152848341618</v>
      </c>
      <c r="H1259" s="1">
        <v>0.158</v>
      </c>
      <c r="I1259" s="1">
        <v>0.33300000000000002</v>
      </c>
      <c r="J1259" s="1">
        <v>2</v>
      </c>
    </row>
    <row r="1260" spans="1:10" x14ac:dyDescent="0.2">
      <c r="A1260" s="1" t="s">
        <v>5325</v>
      </c>
      <c r="B1260" s="1" t="s">
        <v>5324</v>
      </c>
      <c r="C1260" s="1" t="s">
        <v>5323</v>
      </c>
      <c r="D1260" s="2" t="str">
        <f t="shared" si="19"/>
        <v>http://zfin.org/ZDB-GENE-030131-1319</v>
      </c>
      <c r="E1260" s="1" t="s">
        <v>5322</v>
      </c>
      <c r="F1260" s="1">
        <v>5.2556766255656398E-4</v>
      </c>
      <c r="G1260" s="1">
        <v>-0.31375631301819101</v>
      </c>
      <c r="H1260" s="1">
        <v>0.78100000000000003</v>
      </c>
      <c r="I1260" s="1">
        <v>0.75</v>
      </c>
      <c r="J1260" s="1">
        <v>2</v>
      </c>
    </row>
    <row r="1261" spans="1:10" x14ac:dyDescent="0.2">
      <c r="A1261" s="1" t="s">
        <v>5321</v>
      </c>
      <c r="B1261" s="1" t="s">
        <v>5320</v>
      </c>
      <c r="C1261" s="1" t="s">
        <v>5319</v>
      </c>
      <c r="D1261" s="2" t="str">
        <f t="shared" si="19"/>
        <v>http://zfin.org/ZDB-GENE-030131-4801</v>
      </c>
      <c r="E1261" s="1" t="s">
        <v>5318</v>
      </c>
      <c r="F1261" s="3">
        <v>2.5205053339871701E-5</v>
      </c>
      <c r="G1261" s="1">
        <v>-0.31305975650248502</v>
      </c>
      <c r="H1261" s="1">
        <v>0.105</v>
      </c>
      <c r="I1261" s="1">
        <v>0.23300000000000001</v>
      </c>
      <c r="J1261" s="1">
        <v>2</v>
      </c>
    </row>
    <row r="1262" spans="1:10" x14ac:dyDescent="0.2">
      <c r="A1262" s="1" t="s">
        <v>5317</v>
      </c>
      <c r="B1262" s="1" t="s">
        <v>5316</v>
      </c>
      <c r="C1262" s="1" t="s">
        <v>5315</v>
      </c>
      <c r="D1262" s="2" t="str">
        <f t="shared" si="19"/>
        <v>http://zfin.org/ZDB-GENE-040426-1082</v>
      </c>
      <c r="E1262" s="1" t="s">
        <v>5314</v>
      </c>
      <c r="F1262" s="1">
        <v>1.03519756474538E-4</v>
      </c>
      <c r="G1262" s="1">
        <v>-0.31270264414014998</v>
      </c>
      <c r="H1262" s="1">
        <v>0.13200000000000001</v>
      </c>
      <c r="I1262" s="1">
        <v>0.33300000000000002</v>
      </c>
      <c r="J1262" s="1">
        <v>2</v>
      </c>
    </row>
    <row r="1263" spans="1:10" x14ac:dyDescent="0.2">
      <c r="A1263" s="1" t="s">
        <v>5313</v>
      </c>
      <c r="B1263" s="1" t="s">
        <v>5312</v>
      </c>
      <c r="D1263" s="2" t="str">
        <f t="shared" si="19"/>
        <v>http://zfin.org/</v>
      </c>
      <c r="E1263" s="1" t="s">
        <v>4625</v>
      </c>
      <c r="F1263" s="1">
        <v>2.29135572373023E-2</v>
      </c>
      <c r="G1263" s="1">
        <v>-0.31262213599223798</v>
      </c>
      <c r="H1263" s="1">
        <v>1.7999999999999999E-2</v>
      </c>
      <c r="I1263" s="1">
        <v>0.13300000000000001</v>
      </c>
      <c r="J1263" s="1">
        <v>2</v>
      </c>
    </row>
    <row r="1264" spans="1:10" x14ac:dyDescent="0.2">
      <c r="A1264" s="1" t="s">
        <v>5311</v>
      </c>
      <c r="B1264" s="1" t="s">
        <v>5310</v>
      </c>
      <c r="C1264" s="1" t="s">
        <v>5309</v>
      </c>
      <c r="D1264" s="2" t="str">
        <f t="shared" si="19"/>
        <v>http://zfin.org/ZDB-GENE-040426-2698</v>
      </c>
      <c r="E1264" s="1" t="s">
        <v>5308</v>
      </c>
      <c r="F1264" s="3">
        <v>7.5458245980544901E-5</v>
      </c>
      <c r="G1264" s="1">
        <v>-0.31205645005040999</v>
      </c>
      <c r="H1264" s="1">
        <v>0.51800000000000002</v>
      </c>
      <c r="I1264" s="1">
        <v>0.55000000000000004</v>
      </c>
      <c r="J1264" s="1">
        <v>2</v>
      </c>
    </row>
    <row r="1265" spans="1:10" x14ac:dyDescent="0.2">
      <c r="A1265" s="1" t="s">
        <v>5307</v>
      </c>
      <c r="B1265" s="1" t="s">
        <v>5306</v>
      </c>
      <c r="C1265" s="1" t="s">
        <v>5305</v>
      </c>
      <c r="D1265" s="2" t="str">
        <f t="shared" si="19"/>
        <v>http://zfin.org/ZDB-GENE-030131-3275</v>
      </c>
      <c r="E1265" s="1" t="s">
        <v>5304</v>
      </c>
      <c r="F1265" s="1">
        <v>1.79799468292755E-3</v>
      </c>
      <c r="G1265" s="1">
        <v>-0.31199852127445699</v>
      </c>
      <c r="H1265" s="1">
        <v>0.16700000000000001</v>
      </c>
      <c r="I1265" s="1">
        <v>0.28299999999999997</v>
      </c>
      <c r="J1265" s="1">
        <v>2</v>
      </c>
    </row>
    <row r="1266" spans="1:10" x14ac:dyDescent="0.2">
      <c r="A1266" s="1" t="s">
        <v>5303</v>
      </c>
      <c r="B1266" s="1" t="s">
        <v>5302</v>
      </c>
      <c r="C1266" s="1" t="s">
        <v>5301</v>
      </c>
      <c r="D1266" s="2" t="str">
        <f t="shared" si="19"/>
        <v>http://zfin.org/ZDB-GENE-011205-7</v>
      </c>
      <c r="E1266" s="1" t="s">
        <v>5300</v>
      </c>
      <c r="F1266" s="3">
        <v>8.6136574743126097E-7</v>
      </c>
      <c r="G1266" s="1">
        <v>-0.31186175831693602</v>
      </c>
      <c r="H1266" s="1">
        <v>1</v>
      </c>
      <c r="I1266" s="1">
        <v>0.88300000000000001</v>
      </c>
      <c r="J1266" s="1">
        <v>2</v>
      </c>
    </row>
    <row r="1267" spans="1:10" x14ac:dyDescent="0.2">
      <c r="A1267" s="1" t="s">
        <v>5299</v>
      </c>
      <c r="B1267" s="1" t="s">
        <v>5298</v>
      </c>
      <c r="C1267" s="1" t="s">
        <v>5297</v>
      </c>
      <c r="D1267" s="2" t="str">
        <f t="shared" si="19"/>
        <v>http://zfin.org/ZDB-GENE-030131-662</v>
      </c>
      <c r="E1267" s="1" t="s">
        <v>5296</v>
      </c>
      <c r="F1267" s="1">
        <v>1.6857764996767101E-3</v>
      </c>
      <c r="G1267" s="1">
        <v>-0.31185591565763898</v>
      </c>
      <c r="H1267" s="1">
        <v>0.54400000000000004</v>
      </c>
      <c r="I1267" s="1">
        <v>0.61699999999999999</v>
      </c>
      <c r="J1267" s="1">
        <v>2</v>
      </c>
    </row>
    <row r="1268" spans="1:10" x14ac:dyDescent="0.2">
      <c r="A1268" s="1" t="s">
        <v>5295</v>
      </c>
      <c r="B1268" s="1" t="s">
        <v>5294</v>
      </c>
      <c r="C1268" s="1" t="s">
        <v>5293</v>
      </c>
      <c r="D1268" s="2" t="str">
        <f t="shared" si="19"/>
        <v>http://zfin.org/ZDB-GENE-030131-8563</v>
      </c>
      <c r="E1268" s="1" t="s">
        <v>5292</v>
      </c>
      <c r="F1268" s="1">
        <v>1.4366983686764799E-2</v>
      </c>
      <c r="G1268" s="1">
        <v>-0.31113187987913199</v>
      </c>
      <c r="H1268" s="1">
        <v>0.22800000000000001</v>
      </c>
      <c r="I1268" s="1">
        <v>0.38300000000000001</v>
      </c>
      <c r="J1268" s="1">
        <v>2</v>
      </c>
    </row>
    <row r="1269" spans="1:10" x14ac:dyDescent="0.2">
      <c r="A1269" s="1" t="s">
        <v>4066</v>
      </c>
      <c r="B1269" s="1" t="s">
        <v>4065</v>
      </c>
      <c r="C1269" s="1" t="s">
        <v>4064</v>
      </c>
      <c r="D1269" s="2" t="str">
        <f t="shared" si="19"/>
        <v>http://zfin.org/ZDB-GENE-030131-4437</v>
      </c>
      <c r="E1269" s="1" t="s">
        <v>5291</v>
      </c>
      <c r="F1269" s="1">
        <v>4.63849061951479E-4</v>
      </c>
      <c r="G1269" s="1">
        <v>-0.31100108055622799</v>
      </c>
      <c r="H1269" s="1">
        <v>0.754</v>
      </c>
      <c r="I1269" s="1">
        <v>0.71699999999999997</v>
      </c>
      <c r="J1269" s="1">
        <v>2</v>
      </c>
    </row>
    <row r="1270" spans="1:10" x14ac:dyDescent="0.2">
      <c r="A1270" s="1" t="s">
        <v>5290</v>
      </c>
      <c r="B1270" s="1" t="s">
        <v>5289</v>
      </c>
      <c r="C1270" s="1" t="s">
        <v>5288</v>
      </c>
      <c r="D1270" s="2" t="str">
        <f t="shared" si="19"/>
        <v>http://zfin.org/ZDB-GENE-081104-234</v>
      </c>
      <c r="E1270" s="1" t="s">
        <v>5287</v>
      </c>
      <c r="F1270" s="3">
        <v>1.5283114050843899E-5</v>
      </c>
      <c r="G1270" s="1">
        <v>-0.310502159188628</v>
      </c>
      <c r="H1270" s="1">
        <v>7.9000000000000001E-2</v>
      </c>
      <c r="I1270" s="1">
        <v>0.183</v>
      </c>
      <c r="J1270" s="1">
        <v>2</v>
      </c>
    </row>
    <row r="1271" spans="1:10" x14ac:dyDescent="0.2">
      <c r="A1271" s="1" t="s">
        <v>5286</v>
      </c>
      <c r="B1271" s="1" t="s">
        <v>5285</v>
      </c>
      <c r="C1271" s="1" t="s">
        <v>5284</v>
      </c>
      <c r="D1271" s="2" t="str">
        <f t="shared" si="19"/>
        <v>http://zfin.org/ZDB-GENE-090313-81</v>
      </c>
      <c r="E1271" s="1" t="s">
        <v>5283</v>
      </c>
      <c r="F1271" s="1">
        <v>2.3822581175724601E-4</v>
      </c>
      <c r="G1271" s="1">
        <v>-0.310339518911593</v>
      </c>
      <c r="H1271" s="1">
        <v>2.5999999999999999E-2</v>
      </c>
      <c r="I1271" s="1">
        <v>0.15</v>
      </c>
      <c r="J1271" s="1">
        <v>2</v>
      </c>
    </row>
    <row r="1272" spans="1:10" x14ac:dyDescent="0.2">
      <c r="A1272" s="1" t="s">
        <v>5282</v>
      </c>
      <c r="B1272" s="1" t="s">
        <v>5281</v>
      </c>
      <c r="C1272" s="1" t="s">
        <v>5280</v>
      </c>
      <c r="D1272" s="2" t="str">
        <f t="shared" si="19"/>
        <v>http://zfin.org/ZDB-GENE-041010-77</v>
      </c>
      <c r="E1272" s="1" t="s">
        <v>5279</v>
      </c>
      <c r="F1272" s="1">
        <v>1.6852078472764501E-2</v>
      </c>
      <c r="G1272" s="1">
        <v>-0.31033431864841299</v>
      </c>
      <c r="H1272" s="1">
        <v>0.105</v>
      </c>
      <c r="I1272" s="1">
        <v>0.25</v>
      </c>
      <c r="J1272" s="1">
        <v>2</v>
      </c>
    </row>
    <row r="1273" spans="1:10" x14ac:dyDescent="0.2">
      <c r="A1273" s="1" t="s">
        <v>5278</v>
      </c>
      <c r="B1273" s="1" t="s">
        <v>5277</v>
      </c>
      <c r="C1273" s="1" t="s">
        <v>5276</v>
      </c>
      <c r="D1273" s="2" t="str">
        <f t="shared" si="19"/>
        <v>http://zfin.org/ZDB-GENE-070705-218</v>
      </c>
      <c r="E1273" s="1" t="s">
        <v>5275</v>
      </c>
      <c r="F1273" s="1">
        <v>4.7578368651047203E-4</v>
      </c>
      <c r="G1273" s="1">
        <v>-0.30995973130779497</v>
      </c>
      <c r="H1273" s="1">
        <v>9.6000000000000002E-2</v>
      </c>
      <c r="I1273" s="1">
        <v>0.3</v>
      </c>
      <c r="J1273" s="1">
        <v>2</v>
      </c>
    </row>
    <row r="1274" spans="1:10" x14ac:dyDescent="0.2">
      <c r="A1274" s="1" t="s">
        <v>5274</v>
      </c>
      <c r="B1274" s="1" t="s">
        <v>5273</v>
      </c>
      <c r="C1274" s="1" t="s">
        <v>5272</v>
      </c>
      <c r="D1274" s="2" t="str">
        <f t="shared" si="19"/>
        <v>http://zfin.org/ZDB-GENE-040426-2457</v>
      </c>
      <c r="E1274" s="1" t="s">
        <v>5271</v>
      </c>
      <c r="F1274" s="1">
        <v>3.9987167303155704E-3</v>
      </c>
      <c r="G1274" s="1">
        <v>-0.30977201848649299</v>
      </c>
      <c r="H1274" s="1">
        <v>0.246</v>
      </c>
      <c r="I1274" s="1">
        <v>0.3</v>
      </c>
      <c r="J1274" s="1">
        <v>2</v>
      </c>
    </row>
    <row r="1275" spans="1:10" x14ac:dyDescent="0.2">
      <c r="A1275" s="1" t="s">
        <v>5270</v>
      </c>
      <c r="B1275" s="1" t="s">
        <v>5269</v>
      </c>
      <c r="C1275" s="1" t="s">
        <v>5268</v>
      </c>
      <c r="D1275" s="2" t="str">
        <f t="shared" si="19"/>
        <v>http://zfin.org/ZDB-GENE-100422-17</v>
      </c>
      <c r="E1275" s="1" t="s">
        <v>5267</v>
      </c>
      <c r="F1275" s="3">
        <v>5.0531555958613903E-6</v>
      </c>
      <c r="G1275" s="1">
        <v>-0.30957819449176099</v>
      </c>
      <c r="H1275" s="1">
        <v>7.9000000000000001E-2</v>
      </c>
      <c r="I1275" s="1">
        <v>0.217</v>
      </c>
      <c r="J1275" s="1">
        <v>2</v>
      </c>
    </row>
    <row r="1276" spans="1:10" x14ac:dyDescent="0.2">
      <c r="A1276" s="1" t="s">
        <v>5266</v>
      </c>
      <c r="B1276" s="1" t="s">
        <v>5265</v>
      </c>
      <c r="C1276" s="1" t="s">
        <v>5264</v>
      </c>
      <c r="D1276" s="2" t="str">
        <f t="shared" si="19"/>
        <v>http://zfin.org/ZDB-GENE-040718-295</v>
      </c>
      <c r="E1276" s="1" t="s">
        <v>5263</v>
      </c>
      <c r="F1276" s="3">
        <v>7.9903819934006104E-7</v>
      </c>
      <c r="G1276" s="1">
        <v>-0.30943223348084498</v>
      </c>
      <c r="H1276" s="1">
        <v>0.14000000000000001</v>
      </c>
      <c r="I1276" s="1">
        <v>0.3</v>
      </c>
      <c r="J1276" s="1">
        <v>2</v>
      </c>
    </row>
    <row r="1277" spans="1:10" x14ac:dyDescent="0.2">
      <c r="A1277" s="1" t="s">
        <v>5262</v>
      </c>
      <c r="B1277" s="1" t="s">
        <v>5261</v>
      </c>
      <c r="C1277" s="1" t="s">
        <v>5260</v>
      </c>
      <c r="D1277" s="2" t="str">
        <f t="shared" si="19"/>
        <v>http://zfin.org/ZDB-GENE-050417-161</v>
      </c>
      <c r="E1277" s="1" t="s">
        <v>5259</v>
      </c>
      <c r="F1277" s="1">
        <v>1.2645927598798999E-2</v>
      </c>
      <c r="G1277" s="1">
        <v>-0.30936226177010401</v>
      </c>
      <c r="H1277" s="1">
        <v>7.0000000000000007E-2</v>
      </c>
      <c r="I1277" s="1">
        <v>0.23300000000000001</v>
      </c>
      <c r="J1277" s="1">
        <v>2</v>
      </c>
    </row>
    <row r="1278" spans="1:10" x14ac:dyDescent="0.2">
      <c r="A1278" s="1" t="s">
        <v>5258</v>
      </c>
      <c r="B1278" s="1" t="s">
        <v>5257</v>
      </c>
      <c r="C1278" s="1" t="s">
        <v>5256</v>
      </c>
      <c r="D1278" s="2" t="str">
        <f t="shared" si="19"/>
        <v>http://zfin.org/ZDB-GENE-040322-2</v>
      </c>
      <c r="E1278" s="1" t="s">
        <v>5255</v>
      </c>
      <c r="F1278" s="1">
        <v>5.41632721925452E-2</v>
      </c>
      <c r="G1278" s="1">
        <v>-0.30862103290049098</v>
      </c>
      <c r="H1278" s="1">
        <v>0.158</v>
      </c>
      <c r="I1278" s="1">
        <v>0.23300000000000001</v>
      </c>
      <c r="J1278" s="1">
        <v>2</v>
      </c>
    </row>
    <row r="1279" spans="1:10" x14ac:dyDescent="0.2">
      <c r="A1279" s="1" t="s">
        <v>5254</v>
      </c>
      <c r="B1279" s="1" t="s">
        <v>5253</v>
      </c>
      <c r="C1279" s="1" t="s">
        <v>5252</v>
      </c>
      <c r="D1279" s="2" t="str">
        <f t="shared" si="19"/>
        <v>http://zfin.org/ZDB-GENE-040426-2901</v>
      </c>
      <c r="E1279" s="1" t="s">
        <v>5251</v>
      </c>
      <c r="F1279" s="1">
        <v>1.87700184893502E-3</v>
      </c>
      <c r="G1279" s="1">
        <v>-0.30852190733427798</v>
      </c>
      <c r="H1279" s="1">
        <v>5.2999999999999999E-2</v>
      </c>
      <c r="I1279" s="1">
        <v>0.13300000000000001</v>
      </c>
      <c r="J1279" s="1">
        <v>2</v>
      </c>
    </row>
    <row r="1280" spans="1:10" x14ac:dyDescent="0.2">
      <c r="A1280" s="1" t="s">
        <v>5250</v>
      </c>
      <c r="B1280" s="1" t="s">
        <v>5249</v>
      </c>
      <c r="C1280" s="1" t="s">
        <v>5248</v>
      </c>
      <c r="D1280" s="2" t="str">
        <f t="shared" si="19"/>
        <v>http://zfin.org/ZDB-GENE-030131-5056</v>
      </c>
      <c r="E1280" s="1" t="s">
        <v>5247</v>
      </c>
      <c r="F1280" s="1">
        <v>2.0791583292601701E-3</v>
      </c>
      <c r="G1280" s="1">
        <v>-0.30833767918414601</v>
      </c>
      <c r="H1280" s="1">
        <v>0.32500000000000001</v>
      </c>
      <c r="I1280" s="1">
        <v>0.45</v>
      </c>
      <c r="J1280" s="1">
        <v>2</v>
      </c>
    </row>
    <row r="1281" spans="1:10" x14ac:dyDescent="0.2">
      <c r="A1281" s="1" t="s">
        <v>3117</v>
      </c>
      <c r="B1281" s="1" t="s">
        <v>3116</v>
      </c>
      <c r="C1281" s="1" t="s">
        <v>3115</v>
      </c>
      <c r="D1281" s="2" t="str">
        <f t="shared" si="19"/>
        <v>http://zfin.org/ZDB-GENE-041114-64</v>
      </c>
      <c r="E1281" s="1" t="s">
        <v>5246</v>
      </c>
      <c r="F1281" s="1">
        <v>4.2696479444333002E-4</v>
      </c>
      <c r="G1281" s="1">
        <v>-0.30800608157212001</v>
      </c>
      <c r="H1281" s="1">
        <v>9.6000000000000002E-2</v>
      </c>
      <c r="I1281" s="1">
        <v>0.26700000000000002</v>
      </c>
      <c r="J1281" s="1">
        <v>2</v>
      </c>
    </row>
    <row r="1282" spans="1:10" x14ac:dyDescent="0.2">
      <c r="A1282" s="1" t="s">
        <v>5245</v>
      </c>
      <c r="B1282" s="1" t="s">
        <v>5244</v>
      </c>
      <c r="C1282" s="1" t="s">
        <v>5243</v>
      </c>
      <c r="D1282" s="2" t="str">
        <f t="shared" ref="D1282:D1345" si="20">HYPERLINK(E1282)</f>
        <v>http://zfin.org/ZDB-GENE-980526-150</v>
      </c>
      <c r="E1282" s="1" t="s">
        <v>5242</v>
      </c>
      <c r="F1282" s="1">
        <v>8.5979489389559099E-2</v>
      </c>
      <c r="G1282" s="1">
        <v>-0.307887366390731</v>
      </c>
      <c r="H1282" s="1">
        <v>0.17499999999999999</v>
      </c>
      <c r="I1282" s="1">
        <v>0.3</v>
      </c>
      <c r="J1282" s="1">
        <v>2</v>
      </c>
    </row>
    <row r="1283" spans="1:10" x14ac:dyDescent="0.2">
      <c r="A1283" s="1" t="s">
        <v>5241</v>
      </c>
      <c r="B1283" s="1" t="s">
        <v>5240</v>
      </c>
      <c r="C1283" s="1" t="s">
        <v>5239</v>
      </c>
      <c r="D1283" s="2" t="str">
        <f t="shared" si="20"/>
        <v>http://zfin.org/ZDB-GENE-030131-6725</v>
      </c>
      <c r="E1283" s="1" t="s">
        <v>5238</v>
      </c>
      <c r="F1283" s="1">
        <v>4.7982185977043298E-4</v>
      </c>
      <c r="G1283" s="1">
        <v>-0.30772561485737598</v>
      </c>
      <c r="H1283" s="1">
        <v>0.16700000000000001</v>
      </c>
      <c r="I1283" s="1">
        <v>0.33300000000000002</v>
      </c>
      <c r="J1283" s="1">
        <v>2</v>
      </c>
    </row>
    <row r="1284" spans="1:10" x14ac:dyDescent="0.2">
      <c r="A1284" s="1" t="s">
        <v>5237</v>
      </c>
      <c r="B1284" s="1" t="s">
        <v>5236</v>
      </c>
      <c r="C1284" s="1" t="s">
        <v>5235</v>
      </c>
      <c r="D1284" s="2" t="str">
        <f t="shared" si="20"/>
        <v>http://zfin.org/ZDB-GENE-040115-4</v>
      </c>
      <c r="E1284" s="1" t="s">
        <v>5234</v>
      </c>
      <c r="F1284" s="3">
        <v>8.3649827477585205E-7</v>
      </c>
      <c r="G1284" s="1">
        <v>-0.30769114085813198</v>
      </c>
      <c r="H1284" s="1">
        <v>0.39500000000000002</v>
      </c>
      <c r="I1284" s="1">
        <v>0.41699999999999998</v>
      </c>
      <c r="J1284" s="1">
        <v>2</v>
      </c>
    </row>
    <row r="1285" spans="1:10" x14ac:dyDescent="0.2">
      <c r="A1285" s="1" t="s">
        <v>5233</v>
      </c>
      <c r="B1285" s="1" t="s">
        <v>5232</v>
      </c>
      <c r="C1285" s="1" t="s">
        <v>5231</v>
      </c>
      <c r="D1285" s="2" t="str">
        <f t="shared" si="20"/>
        <v>http://zfin.org/ZDB-GENE-130530-633</v>
      </c>
      <c r="E1285" s="1" t="s">
        <v>5230</v>
      </c>
      <c r="F1285" s="1">
        <v>1.13957295746195E-4</v>
      </c>
      <c r="G1285" s="1">
        <v>-0.307229630845331</v>
      </c>
      <c r="H1285" s="1">
        <v>0.219</v>
      </c>
      <c r="I1285" s="1">
        <v>0.3</v>
      </c>
      <c r="J1285" s="1">
        <v>2</v>
      </c>
    </row>
    <row r="1286" spans="1:10" x14ac:dyDescent="0.2">
      <c r="A1286" s="1" t="s">
        <v>5229</v>
      </c>
      <c r="B1286" s="1" t="s">
        <v>5228</v>
      </c>
      <c r="C1286" s="1" t="s">
        <v>5227</v>
      </c>
      <c r="D1286" s="2" t="str">
        <f t="shared" si="20"/>
        <v>http://zfin.org/ZDB-GENE-061009-11</v>
      </c>
      <c r="E1286" s="1" t="s">
        <v>5226</v>
      </c>
      <c r="F1286" s="1">
        <v>1.35414839875718E-2</v>
      </c>
      <c r="G1286" s="1">
        <v>-0.30696549797683598</v>
      </c>
      <c r="H1286" s="1">
        <v>6.0999999999999999E-2</v>
      </c>
      <c r="I1286" s="1">
        <v>0.183</v>
      </c>
      <c r="J1286" s="1">
        <v>2</v>
      </c>
    </row>
    <row r="1287" spans="1:10" x14ac:dyDescent="0.2">
      <c r="A1287" s="1" t="s">
        <v>5225</v>
      </c>
      <c r="B1287" s="1" t="s">
        <v>5224</v>
      </c>
      <c r="C1287" s="1" t="s">
        <v>5223</v>
      </c>
      <c r="D1287" s="2" t="str">
        <f t="shared" si="20"/>
        <v>http://zfin.org/ZDB-GENE-031019-1</v>
      </c>
      <c r="E1287" s="1" t="s">
        <v>5222</v>
      </c>
      <c r="F1287" s="3">
        <v>4.3899523241999601E-9</v>
      </c>
      <c r="G1287" s="1">
        <v>-0.30679996358143302</v>
      </c>
      <c r="H1287" s="1">
        <v>0.32500000000000001</v>
      </c>
      <c r="I1287" s="1">
        <v>0.3</v>
      </c>
      <c r="J1287" s="1">
        <v>2</v>
      </c>
    </row>
    <row r="1288" spans="1:10" x14ac:dyDescent="0.2">
      <c r="A1288" s="1" t="s">
        <v>5221</v>
      </c>
      <c r="B1288" s="1" t="s">
        <v>5220</v>
      </c>
      <c r="D1288" s="2" t="str">
        <f t="shared" si="20"/>
        <v>http://zfin.org/</v>
      </c>
      <c r="E1288" s="1" t="s">
        <v>4625</v>
      </c>
      <c r="F1288" s="1">
        <v>1.1363789009765601E-2</v>
      </c>
      <c r="G1288" s="1">
        <v>-0.30604707866381398</v>
      </c>
      <c r="H1288" s="1">
        <v>0.105</v>
      </c>
      <c r="I1288" s="1">
        <v>0.23300000000000001</v>
      </c>
      <c r="J1288" s="1">
        <v>2</v>
      </c>
    </row>
    <row r="1289" spans="1:10" x14ac:dyDescent="0.2">
      <c r="A1289" s="1" t="s">
        <v>5219</v>
      </c>
      <c r="B1289" s="1" t="s">
        <v>5218</v>
      </c>
      <c r="C1289" s="1" t="s">
        <v>5217</v>
      </c>
      <c r="D1289" s="2" t="str">
        <f t="shared" si="20"/>
        <v>http://zfin.org/ZDB-GENE-030131-7440</v>
      </c>
      <c r="E1289" s="1" t="s">
        <v>5216</v>
      </c>
      <c r="F1289" s="3">
        <v>1.77386480703372E-8</v>
      </c>
      <c r="G1289" s="1">
        <v>-0.30599982818474902</v>
      </c>
      <c r="H1289" s="1">
        <v>0.316</v>
      </c>
      <c r="I1289" s="1">
        <v>0.33300000000000002</v>
      </c>
      <c r="J1289" s="1">
        <v>2</v>
      </c>
    </row>
    <row r="1290" spans="1:10" x14ac:dyDescent="0.2">
      <c r="A1290" s="1" t="s">
        <v>5215</v>
      </c>
      <c r="B1290" s="1" t="s">
        <v>5214</v>
      </c>
      <c r="C1290" s="1" t="s">
        <v>5213</v>
      </c>
      <c r="D1290" s="2" t="str">
        <f t="shared" si="20"/>
        <v>http://zfin.org/ZDB-GENE-090313-83</v>
      </c>
      <c r="E1290" s="1" t="s">
        <v>5212</v>
      </c>
      <c r="F1290" s="1">
        <v>8.1883414337729898E-3</v>
      </c>
      <c r="G1290" s="1">
        <v>-0.30513783710032499</v>
      </c>
      <c r="H1290" s="1">
        <v>3.5000000000000003E-2</v>
      </c>
      <c r="I1290" s="1">
        <v>0.11700000000000001</v>
      </c>
      <c r="J1290" s="1">
        <v>2</v>
      </c>
    </row>
    <row r="1291" spans="1:10" x14ac:dyDescent="0.2">
      <c r="A1291" s="1" t="s">
        <v>2759</v>
      </c>
      <c r="B1291" s="1" t="s">
        <v>2758</v>
      </c>
      <c r="C1291" s="1" t="s">
        <v>2757</v>
      </c>
      <c r="D1291" s="2" t="str">
        <f t="shared" si="20"/>
        <v>http://zfin.org/ZDB-GENE-040426-1882</v>
      </c>
      <c r="E1291" s="1" t="s">
        <v>5211</v>
      </c>
      <c r="F1291" s="1">
        <v>0.123484569412876</v>
      </c>
      <c r="G1291" s="1">
        <v>-0.30506445245009001</v>
      </c>
      <c r="H1291" s="1">
        <v>0.246</v>
      </c>
      <c r="I1291" s="1">
        <v>0.35</v>
      </c>
      <c r="J1291" s="1">
        <v>2</v>
      </c>
    </row>
    <row r="1292" spans="1:10" x14ac:dyDescent="0.2">
      <c r="A1292" s="1" t="s">
        <v>3642</v>
      </c>
      <c r="B1292" s="1" t="s">
        <v>3641</v>
      </c>
      <c r="C1292" s="1" t="s">
        <v>3640</v>
      </c>
      <c r="D1292" s="2" t="str">
        <f t="shared" si="20"/>
        <v>http://zfin.org/ZDB-GENE-040801-268</v>
      </c>
      <c r="E1292" s="1" t="s">
        <v>5210</v>
      </c>
      <c r="F1292" s="3">
        <v>1.313604426823E-8</v>
      </c>
      <c r="G1292" s="1">
        <v>-0.30496750466883898</v>
      </c>
      <c r="H1292" s="1">
        <v>0.45600000000000002</v>
      </c>
      <c r="I1292" s="1">
        <v>0.433</v>
      </c>
      <c r="J1292" s="1">
        <v>2</v>
      </c>
    </row>
    <row r="1293" spans="1:10" x14ac:dyDescent="0.2">
      <c r="A1293" s="1" t="s">
        <v>3725</v>
      </c>
      <c r="B1293" s="1" t="s">
        <v>3724</v>
      </c>
      <c r="C1293" s="1" t="s">
        <v>3723</v>
      </c>
      <c r="D1293" s="2" t="str">
        <f t="shared" si="20"/>
        <v>http://zfin.org/ZDB-GENE-050522-151</v>
      </c>
      <c r="E1293" s="1" t="s">
        <v>5209</v>
      </c>
      <c r="F1293" s="3">
        <v>6.6034372052108899E-7</v>
      </c>
      <c r="G1293" s="1">
        <v>-0.30470271071412403</v>
      </c>
      <c r="H1293" s="1">
        <v>0.92100000000000004</v>
      </c>
      <c r="I1293" s="1">
        <v>0.83299999999999996</v>
      </c>
      <c r="J1293" s="1">
        <v>2</v>
      </c>
    </row>
    <row r="1294" spans="1:10" x14ac:dyDescent="0.2">
      <c r="A1294" s="1" t="s">
        <v>5208</v>
      </c>
      <c r="B1294" s="1" t="s">
        <v>5207</v>
      </c>
      <c r="C1294" s="1" t="s">
        <v>5206</v>
      </c>
      <c r="D1294" s="2" t="str">
        <f t="shared" si="20"/>
        <v>http://zfin.org/ZDB-GENE-991008-16</v>
      </c>
      <c r="E1294" s="1" t="s">
        <v>5205</v>
      </c>
      <c r="F1294" s="3">
        <v>2.0985309142950198E-8</v>
      </c>
      <c r="G1294" s="1">
        <v>-0.30452022441751297</v>
      </c>
      <c r="H1294" s="1">
        <v>0.16700000000000001</v>
      </c>
      <c r="I1294" s="1">
        <v>0.26700000000000002</v>
      </c>
      <c r="J1294" s="1">
        <v>2</v>
      </c>
    </row>
    <row r="1295" spans="1:10" x14ac:dyDescent="0.2">
      <c r="A1295" s="1" t="s">
        <v>5204</v>
      </c>
      <c r="B1295" s="1" t="s">
        <v>5203</v>
      </c>
      <c r="C1295" s="1" t="s">
        <v>5202</v>
      </c>
      <c r="D1295" s="2" t="str">
        <f t="shared" si="20"/>
        <v>http://zfin.org/ZDB-GENE-040426-1285</v>
      </c>
      <c r="E1295" s="1" t="s">
        <v>5201</v>
      </c>
      <c r="F1295" s="1">
        <v>1.82234015645921E-4</v>
      </c>
      <c r="G1295" s="1">
        <v>-0.30418057937955401</v>
      </c>
      <c r="H1295" s="1">
        <v>1.7999999999999999E-2</v>
      </c>
      <c r="I1295" s="1">
        <v>0.15</v>
      </c>
      <c r="J1295" s="1">
        <v>2</v>
      </c>
    </row>
    <row r="1296" spans="1:10" x14ac:dyDescent="0.2">
      <c r="A1296" s="1" t="s">
        <v>5200</v>
      </c>
      <c r="B1296" s="1" t="s">
        <v>5199</v>
      </c>
      <c r="C1296" s="1" t="s">
        <v>5198</v>
      </c>
      <c r="D1296" s="2" t="str">
        <f t="shared" si="20"/>
        <v>http://zfin.org/ZDB-GENE-040625-116</v>
      </c>
      <c r="E1296" s="1" t="s">
        <v>5197</v>
      </c>
      <c r="F1296" s="1">
        <v>1.40915403032258E-2</v>
      </c>
      <c r="G1296" s="1">
        <v>-0.30402878998786298</v>
      </c>
      <c r="H1296" s="1">
        <v>0.26300000000000001</v>
      </c>
      <c r="I1296" s="1">
        <v>0.38300000000000001</v>
      </c>
      <c r="J1296" s="1">
        <v>2</v>
      </c>
    </row>
    <row r="1297" spans="1:10" x14ac:dyDescent="0.2">
      <c r="A1297" s="1" t="s">
        <v>5196</v>
      </c>
      <c r="B1297" s="1" t="s">
        <v>5195</v>
      </c>
      <c r="C1297" s="1" t="s">
        <v>5194</v>
      </c>
      <c r="D1297" s="2" t="str">
        <f t="shared" si="20"/>
        <v>http://zfin.org/ZDB-GENE-040718-302</v>
      </c>
      <c r="E1297" s="1" t="s">
        <v>5193</v>
      </c>
      <c r="F1297" s="1">
        <v>4.0174364247991699E-3</v>
      </c>
      <c r="G1297" s="1">
        <v>-0.30383893633116299</v>
      </c>
      <c r="H1297" s="1">
        <v>7.9000000000000001E-2</v>
      </c>
      <c r="I1297" s="1">
        <v>0.16700000000000001</v>
      </c>
      <c r="J1297" s="1">
        <v>2</v>
      </c>
    </row>
    <row r="1298" spans="1:10" x14ac:dyDescent="0.2">
      <c r="A1298" s="1" t="s">
        <v>5192</v>
      </c>
      <c r="B1298" s="1" t="s">
        <v>5191</v>
      </c>
      <c r="C1298" s="1" t="s">
        <v>5190</v>
      </c>
      <c r="D1298" s="2" t="str">
        <f t="shared" si="20"/>
        <v>http://zfin.org/ZDB-GENE-001030-4</v>
      </c>
      <c r="E1298" s="1" t="s">
        <v>5189</v>
      </c>
      <c r="F1298" s="1">
        <v>7.9290513632807202E-2</v>
      </c>
      <c r="G1298" s="1">
        <v>-0.30373179474369599</v>
      </c>
      <c r="H1298" s="1">
        <v>0.105</v>
      </c>
      <c r="I1298" s="1">
        <v>0.183</v>
      </c>
      <c r="J1298" s="1">
        <v>2</v>
      </c>
    </row>
    <row r="1299" spans="1:10" x14ac:dyDescent="0.2">
      <c r="A1299" s="1" t="s">
        <v>5188</v>
      </c>
      <c r="B1299" s="1" t="s">
        <v>5187</v>
      </c>
      <c r="C1299" s="1" t="s">
        <v>5186</v>
      </c>
      <c r="D1299" s="2" t="str">
        <f t="shared" si="20"/>
        <v>http://zfin.org/ZDB-GENE-030131-9832</v>
      </c>
      <c r="E1299" s="1" t="s">
        <v>5185</v>
      </c>
      <c r="F1299" s="3">
        <v>2.52068656632081E-5</v>
      </c>
      <c r="G1299" s="1">
        <v>-0.30359030825223898</v>
      </c>
      <c r="H1299" s="1">
        <v>9.6000000000000002E-2</v>
      </c>
      <c r="I1299" s="1">
        <v>0.23300000000000001</v>
      </c>
      <c r="J1299" s="1">
        <v>2</v>
      </c>
    </row>
    <row r="1300" spans="1:10" x14ac:dyDescent="0.2">
      <c r="A1300" s="1" t="s">
        <v>5184</v>
      </c>
      <c r="B1300" s="1" t="s">
        <v>5183</v>
      </c>
      <c r="C1300" s="1" t="s">
        <v>5182</v>
      </c>
      <c r="D1300" s="2" t="str">
        <f t="shared" si="20"/>
        <v>http://zfin.org/ZDB-GENE-050417-45</v>
      </c>
      <c r="E1300" s="1" t="s">
        <v>5181</v>
      </c>
      <c r="F1300" s="1">
        <v>7.9762315449074406E-3</v>
      </c>
      <c r="G1300" s="1">
        <v>-0.30338641612443501</v>
      </c>
      <c r="H1300" s="1">
        <v>0.36799999999999999</v>
      </c>
      <c r="I1300" s="1">
        <v>0.45</v>
      </c>
      <c r="J1300" s="1">
        <v>2</v>
      </c>
    </row>
    <row r="1301" spans="1:10" x14ac:dyDescent="0.2">
      <c r="A1301" s="1" t="s">
        <v>5180</v>
      </c>
      <c r="B1301" s="1" t="s">
        <v>5179</v>
      </c>
      <c r="C1301" s="1" t="s">
        <v>5178</v>
      </c>
      <c r="D1301" s="2" t="str">
        <f t="shared" si="20"/>
        <v>http://zfin.org/ZDB-GENE-050417-112</v>
      </c>
      <c r="E1301" s="1" t="s">
        <v>5177</v>
      </c>
      <c r="F1301" s="1">
        <v>3.2225111525440602E-4</v>
      </c>
      <c r="G1301" s="1">
        <v>-0.30336890325023602</v>
      </c>
      <c r="H1301" s="1">
        <v>4.3999999999999997E-2</v>
      </c>
      <c r="I1301" s="1">
        <v>0.13300000000000001</v>
      </c>
      <c r="J1301" s="1">
        <v>2</v>
      </c>
    </row>
    <row r="1302" spans="1:10" x14ac:dyDescent="0.2">
      <c r="A1302" s="1" t="s">
        <v>5176</v>
      </c>
      <c r="B1302" s="1" t="s">
        <v>5175</v>
      </c>
      <c r="C1302" s="1" t="s">
        <v>5174</v>
      </c>
      <c r="D1302" s="2" t="str">
        <f t="shared" si="20"/>
        <v>http://zfin.org/ZDB-GENE-041010-92</v>
      </c>
      <c r="E1302" s="1" t="s">
        <v>5173</v>
      </c>
      <c r="F1302" s="1">
        <v>9.1586773709503605E-4</v>
      </c>
      <c r="G1302" s="1">
        <v>-0.30323013406779098</v>
      </c>
      <c r="H1302" s="1">
        <v>4.3999999999999997E-2</v>
      </c>
      <c r="I1302" s="1">
        <v>0.2</v>
      </c>
      <c r="J1302" s="1">
        <v>2</v>
      </c>
    </row>
    <row r="1303" spans="1:10" x14ac:dyDescent="0.2">
      <c r="A1303" s="1" t="s">
        <v>5172</v>
      </c>
      <c r="B1303" s="1" t="s">
        <v>5171</v>
      </c>
      <c r="D1303" s="2" t="str">
        <f t="shared" si="20"/>
        <v>http://zfin.org/</v>
      </c>
      <c r="E1303" s="1" t="s">
        <v>4625</v>
      </c>
      <c r="F1303" s="3">
        <v>9.4172732630165999E-6</v>
      </c>
      <c r="G1303" s="1">
        <v>-0.30267297735452697</v>
      </c>
      <c r="H1303" s="1">
        <v>0.16700000000000001</v>
      </c>
      <c r="I1303" s="1">
        <v>0.23300000000000001</v>
      </c>
      <c r="J1303" s="1">
        <v>2</v>
      </c>
    </row>
    <row r="1304" spans="1:10" x14ac:dyDescent="0.2">
      <c r="A1304" s="1" t="s">
        <v>5170</v>
      </c>
      <c r="B1304" s="1" t="s">
        <v>5169</v>
      </c>
      <c r="C1304" s="1" t="s">
        <v>5168</v>
      </c>
      <c r="D1304" s="2" t="str">
        <f t="shared" si="20"/>
        <v>http://zfin.org/ZDB-GENE-050720-3</v>
      </c>
      <c r="E1304" s="1" t="s">
        <v>5167</v>
      </c>
      <c r="F1304" s="1">
        <v>1.2311005851480699E-3</v>
      </c>
      <c r="G1304" s="1">
        <v>-0.30249480630226</v>
      </c>
      <c r="H1304" s="1">
        <v>2.5999999999999999E-2</v>
      </c>
      <c r="I1304" s="1">
        <v>0.15</v>
      </c>
      <c r="J1304" s="1">
        <v>2</v>
      </c>
    </row>
    <row r="1305" spans="1:10" x14ac:dyDescent="0.2">
      <c r="A1305" s="1" t="s">
        <v>5166</v>
      </c>
      <c r="B1305" s="1" t="s">
        <v>5165</v>
      </c>
      <c r="C1305" s="1" t="s">
        <v>5164</v>
      </c>
      <c r="D1305" s="2" t="str">
        <f t="shared" si="20"/>
        <v>http://zfin.org/ZDB-GENE-040426-895</v>
      </c>
      <c r="E1305" s="1" t="s">
        <v>5163</v>
      </c>
      <c r="F1305" s="1">
        <v>2.5290143526501602E-4</v>
      </c>
      <c r="G1305" s="1">
        <v>-0.30238671053249599</v>
      </c>
      <c r="H1305" s="1">
        <v>0.40400000000000003</v>
      </c>
      <c r="I1305" s="1">
        <v>0.46700000000000003</v>
      </c>
      <c r="J1305" s="1">
        <v>2</v>
      </c>
    </row>
    <row r="1306" spans="1:10" x14ac:dyDescent="0.2">
      <c r="A1306" s="1" t="s">
        <v>5162</v>
      </c>
      <c r="B1306" s="1" t="s">
        <v>5161</v>
      </c>
      <c r="C1306" s="1" t="s">
        <v>5160</v>
      </c>
      <c r="D1306" s="2" t="str">
        <f t="shared" si="20"/>
        <v>http://zfin.org/ZDB-GENE-040426-1483</v>
      </c>
      <c r="E1306" s="1" t="s">
        <v>5159</v>
      </c>
      <c r="F1306" s="1">
        <v>5.74393797485443E-3</v>
      </c>
      <c r="G1306" s="1">
        <v>-0.30224939360949299</v>
      </c>
      <c r="H1306" s="1">
        <v>0.29799999999999999</v>
      </c>
      <c r="I1306" s="1">
        <v>0.36699999999999999</v>
      </c>
      <c r="J1306" s="1">
        <v>2</v>
      </c>
    </row>
    <row r="1307" spans="1:10" x14ac:dyDescent="0.2">
      <c r="A1307" s="1" t="s">
        <v>5158</v>
      </c>
      <c r="B1307" s="1" t="s">
        <v>5157</v>
      </c>
      <c r="C1307" s="1" t="s">
        <v>5156</v>
      </c>
      <c r="D1307" s="2" t="str">
        <f t="shared" si="20"/>
        <v>http://zfin.org/ZDB-GENE-050104-1</v>
      </c>
      <c r="E1307" s="1" t="s">
        <v>5155</v>
      </c>
      <c r="F1307" s="1">
        <v>2.84282728553279E-2</v>
      </c>
      <c r="G1307" s="1">
        <v>-0.30220703002202798</v>
      </c>
      <c r="H1307" s="1">
        <v>0.35099999999999998</v>
      </c>
      <c r="I1307" s="1">
        <v>0.45</v>
      </c>
      <c r="J1307" s="1">
        <v>2</v>
      </c>
    </row>
    <row r="1308" spans="1:10" x14ac:dyDescent="0.2">
      <c r="A1308" s="1" t="s">
        <v>5154</v>
      </c>
      <c r="B1308" s="1" t="s">
        <v>5153</v>
      </c>
      <c r="C1308" s="1" t="s">
        <v>5152</v>
      </c>
      <c r="D1308" s="2" t="str">
        <f t="shared" si="20"/>
        <v>http://zfin.org/ZDB-GENE-050417-416</v>
      </c>
      <c r="E1308" s="1" t="s">
        <v>5151</v>
      </c>
      <c r="F1308" s="1">
        <v>4.24994816359046E-4</v>
      </c>
      <c r="G1308" s="1">
        <v>-0.30216206478371499</v>
      </c>
      <c r="H1308" s="1">
        <v>0.38600000000000001</v>
      </c>
      <c r="I1308" s="1">
        <v>0.433</v>
      </c>
      <c r="J1308" s="1">
        <v>2</v>
      </c>
    </row>
    <row r="1309" spans="1:10" x14ac:dyDescent="0.2">
      <c r="A1309" s="1" t="s">
        <v>5150</v>
      </c>
      <c r="B1309" s="1" t="s">
        <v>5149</v>
      </c>
      <c r="C1309" s="1" t="s">
        <v>5148</v>
      </c>
      <c r="D1309" s="2" t="str">
        <f t="shared" si="20"/>
        <v>http://zfin.org/ZDB-GENE-041008-214</v>
      </c>
      <c r="E1309" s="1" t="s">
        <v>5147</v>
      </c>
      <c r="F1309" s="1">
        <v>5.8834966637406796E-4</v>
      </c>
      <c r="G1309" s="1">
        <v>-0.30206879959935601</v>
      </c>
      <c r="H1309" s="1">
        <v>7.9000000000000001E-2</v>
      </c>
      <c r="I1309" s="1">
        <v>0.183</v>
      </c>
      <c r="J1309" s="1">
        <v>2</v>
      </c>
    </row>
    <row r="1310" spans="1:10" x14ac:dyDescent="0.2">
      <c r="A1310" s="1" t="s">
        <v>5146</v>
      </c>
      <c r="B1310" s="1" t="s">
        <v>5145</v>
      </c>
      <c r="C1310" s="1" t="s">
        <v>5144</v>
      </c>
      <c r="D1310" s="2" t="str">
        <f t="shared" si="20"/>
        <v>http://zfin.org/ZDB-GENE-030131-5126</v>
      </c>
      <c r="E1310" s="1" t="s">
        <v>5143</v>
      </c>
      <c r="F1310" s="1">
        <v>1.4047016566112101E-2</v>
      </c>
      <c r="G1310" s="1">
        <v>-0.30191263737317597</v>
      </c>
      <c r="H1310" s="1">
        <v>1.7999999999999999E-2</v>
      </c>
      <c r="I1310" s="1">
        <v>0.11700000000000001</v>
      </c>
      <c r="J1310" s="1">
        <v>2</v>
      </c>
    </row>
    <row r="1311" spans="1:10" x14ac:dyDescent="0.2">
      <c r="A1311" s="1" t="s">
        <v>3639</v>
      </c>
      <c r="B1311" s="1" t="s">
        <v>3638</v>
      </c>
      <c r="C1311" s="1" t="s">
        <v>3637</v>
      </c>
      <c r="D1311" s="2" t="str">
        <f t="shared" si="20"/>
        <v>http://zfin.org/ZDB-GENE-030131-5547</v>
      </c>
      <c r="E1311" s="1" t="s">
        <v>5142</v>
      </c>
      <c r="F1311" s="1">
        <v>5.7789349291748303E-3</v>
      </c>
      <c r="G1311" s="1">
        <v>-0.30180304711526901</v>
      </c>
      <c r="H1311" s="1">
        <v>0.16700000000000001</v>
      </c>
      <c r="I1311" s="1">
        <v>0.3</v>
      </c>
      <c r="J1311" s="1">
        <v>2</v>
      </c>
    </row>
    <row r="1312" spans="1:10" x14ac:dyDescent="0.2">
      <c r="A1312" s="1" t="s">
        <v>5141</v>
      </c>
      <c r="B1312" s="1" t="s">
        <v>5140</v>
      </c>
      <c r="C1312" s="1" t="s">
        <v>5139</v>
      </c>
      <c r="D1312" s="2" t="str">
        <f t="shared" si="20"/>
        <v>http://zfin.org/ZDB-GENE-041008-136</v>
      </c>
      <c r="E1312" s="1" t="s">
        <v>5138</v>
      </c>
      <c r="F1312" s="1">
        <v>2.50371333306008E-4</v>
      </c>
      <c r="G1312" s="1">
        <v>-0.301554570188863</v>
      </c>
      <c r="H1312" s="1">
        <v>0.219</v>
      </c>
      <c r="I1312" s="1">
        <v>0.26700000000000002</v>
      </c>
      <c r="J1312" s="1">
        <v>2</v>
      </c>
    </row>
    <row r="1313" spans="1:10" x14ac:dyDescent="0.2">
      <c r="A1313" s="1" t="s">
        <v>5137</v>
      </c>
      <c r="B1313" s="1" t="s">
        <v>5136</v>
      </c>
      <c r="C1313" s="1" t="s">
        <v>5135</v>
      </c>
      <c r="D1313" s="2" t="str">
        <f t="shared" si="20"/>
        <v>http://zfin.org/ZDB-GENE-140909-1</v>
      </c>
      <c r="E1313" s="1" t="s">
        <v>5134</v>
      </c>
      <c r="F1313" s="3">
        <v>3.2065420470199103E-5</v>
      </c>
      <c r="G1313" s="1">
        <v>-0.300915754287715</v>
      </c>
      <c r="H1313" s="1">
        <v>0.14000000000000001</v>
      </c>
      <c r="I1313" s="1">
        <v>0.23300000000000001</v>
      </c>
      <c r="J1313" s="1">
        <v>2</v>
      </c>
    </row>
    <row r="1314" spans="1:10" x14ac:dyDescent="0.2">
      <c r="A1314" s="1" t="s">
        <v>4316</v>
      </c>
      <c r="B1314" s="1" t="s">
        <v>4315</v>
      </c>
      <c r="C1314" s="1" t="s">
        <v>4314</v>
      </c>
      <c r="D1314" s="2" t="str">
        <f t="shared" si="20"/>
        <v>http://zfin.org/ZDB-GENE-040718-136</v>
      </c>
      <c r="E1314" s="1" t="s">
        <v>5133</v>
      </c>
      <c r="F1314" s="3">
        <v>2.3076420324097001E-5</v>
      </c>
      <c r="G1314" s="1">
        <v>-0.30089709284514399</v>
      </c>
      <c r="H1314" s="1">
        <v>0.86799999999999999</v>
      </c>
      <c r="I1314" s="1">
        <v>0.78300000000000003</v>
      </c>
      <c r="J1314" s="1">
        <v>2</v>
      </c>
    </row>
    <row r="1315" spans="1:10" x14ac:dyDescent="0.2">
      <c r="A1315" s="1" t="s">
        <v>5132</v>
      </c>
      <c r="B1315" s="1" t="s">
        <v>5131</v>
      </c>
      <c r="C1315" s="1" t="s">
        <v>5130</v>
      </c>
      <c r="D1315" s="2" t="str">
        <f t="shared" si="20"/>
        <v>http://zfin.org/ZDB-GENE-030131-1873</v>
      </c>
      <c r="E1315" s="1" t="s">
        <v>5129</v>
      </c>
      <c r="F1315" s="1">
        <v>7.4107913566273404E-3</v>
      </c>
      <c r="G1315" s="1">
        <v>-0.30018047010786197</v>
      </c>
      <c r="H1315" s="1">
        <v>7.0000000000000007E-2</v>
      </c>
      <c r="I1315" s="1">
        <v>0.25</v>
      </c>
      <c r="J1315" s="1">
        <v>2</v>
      </c>
    </row>
    <row r="1316" spans="1:10" x14ac:dyDescent="0.2">
      <c r="A1316" s="1" t="s">
        <v>5128</v>
      </c>
      <c r="B1316" s="1" t="s">
        <v>5127</v>
      </c>
      <c r="C1316" s="1" t="s">
        <v>5126</v>
      </c>
      <c r="D1316" s="2" t="str">
        <f t="shared" si="20"/>
        <v>http://zfin.org/ZDB-GENE-100215-2</v>
      </c>
      <c r="E1316" s="1" t="s">
        <v>5125</v>
      </c>
      <c r="F1316" s="3">
        <v>5.21327373865379E-8</v>
      </c>
      <c r="G1316" s="1">
        <v>-0.30015826881971203</v>
      </c>
      <c r="H1316" s="1">
        <v>0.90400000000000003</v>
      </c>
      <c r="I1316" s="1">
        <v>0.76700000000000002</v>
      </c>
      <c r="J1316" s="1">
        <v>2</v>
      </c>
    </row>
    <row r="1317" spans="1:10" x14ac:dyDescent="0.2">
      <c r="A1317" s="1" t="s">
        <v>1913</v>
      </c>
      <c r="B1317" s="1" t="s">
        <v>1912</v>
      </c>
      <c r="C1317" s="1" t="s">
        <v>1911</v>
      </c>
      <c r="D1317" s="2" t="str">
        <f t="shared" si="20"/>
        <v>http://zfin.org/ZDB-GENE-041010-154</v>
      </c>
      <c r="E1317" s="1" t="s">
        <v>5124</v>
      </c>
      <c r="F1317" s="1">
        <v>5.1172741917546096E-4</v>
      </c>
      <c r="G1317" s="1">
        <v>-0.30000525853594301</v>
      </c>
      <c r="H1317" s="1">
        <v>0.34200000000000003</v>
      </c>
      <c r="I1317" s="1">
        <v>0.433</v>
      </c>
      <c r="J1317" s="1">
        <v>2</v>
      </c>
    </row>
    <row r="1318" spans="1:10" x14ac:dyDescent="0.2">
      <c r="A1318" s="1" t="s">
        <v>5123</v>
      </c>
      <c r="B1318" s="1" t="s">
        <v>5122</v>
      </c>
      <c r="C1318" s="1" t="s">
        <v>5121</v>
      </c>
      <c r="D1318" s="2" t="str">
        <f t="shared" si="20"/>
        <v>http://zfin.org/ZDB-GENE-040718-206</v>
      </c>
      <c r="E1318" s="1" t="s">
        <v>5120</v>
      </c>
      <c r="F1318" s="1">
        <v>6.2350810320783003E-4</v>
      </c>
      <c r="G1318" s="1">
        <v>-0.29980788303357703</v>
      </c>
      <c r="H1318" s="1">
        <v>6.0999999999999999E-2</v>
      </c>
      <c r="I1318" s="1">
        <v>0.2</v>
      </c>
      <c r="J1318" s="1">
        <v>2</v>
      </c>
    </row>
    <row r="1319" spans="1:10" x14ac:dyDescent="0.2">
      <c r="A1319" s="1" t="s">
        <v>5119</v>
      </c>
      <c r="B1319" s="1" t="s">
        <v>5118</v>
      </c>
      <c r="C1319" s="1" t="s">
        <v>5117</v>
      </c>
      <c r="D1319" s="2" t="str">
        <f t="shared" si="20"/>
        <v>http://zfin.org/ZDB-GENE-061027-183</v>
      </c>
      <c r="E1319" s="1" t="s">
        <v>5116</v>
      </c>
      <c r="F1319" s="1">
        <v>1.4021378174776399E-2</v>
      </c>
      <c r="G1319" s="1">
        <v>-0.29970668472844297</v>
      </c>
      <c r="H1319" s="1">
        <v>0.16700000000000001</v>
      </c>
      <c r="I1319" s="1">
        <v>0.217</v>
      </c>
      <c r="J1319" s="1">
        <v>2</v>
      </c>
    </row>
    <row r="1320" spans="1:10" x14ac:dyDescent="0.2">
      <c r="A1320" s="1" t="s">
        <v>2626</v>
      </c>
      <c r="B1320" s="1" t="s">
        <v>2625</v>
      </c>
      <c r="C1320" s="1" t="s">
        <v>2624</v>
      </c>
      <c r="D1320" s="2" t="str">
        <f t="shared" si="20"/>
        <v>http://zfin.org/ZDB-GENE-030131-269</v>
      </c>
      <c r="E1320" s="1" t="s">
        <v>5115</v>
      </c>
      <c r="F1320" s="3">
        <v>9.9310006229446398E-5</v>
      </c>
      <c r="G1320" s="1">
        <v>-0.299446135944551</v>
      </c>
      <c r="H1320" s="1">
        <v>0.52600000000000002</v>
      </c>
      <c r="I1320" s="1">
        <v>0.51700000000000002</v>
      </c>
      <c r="J1320" s="1">
        <v>2</v>
      </c>
    </row>
    <row r="1321" spans="1:10" x14ac:dyDescent="0.2">
      <c r="A1321" s="1" t="s">
        <v>5114</v>
      </c>
      <c r="B1321" s="1" t="s">
        <v>5113</v>
      </c>
      <c r="C1321" s="1" t="s">
        <v>5112</v>
      </c>
      <c r="D1321" s="2" t="str">
        <f t="shared" si="20"/>
        <v>http://zfin.org/ZDB-GENE-040426-1309</v>
      </c>
      <c r="E1321" s="1" t="s">
        <v>5111</v>
      </c>
      <c r="F1321" s="1">
        <v>3.8761256434805002E-4</v>
      </c>
      <c r="G1321" s="1">
        <v>-0.29944043701477702</v>
      </c>
      <c r="H1321" s="1">
        <v>0.14899999999999999</v>
      </c>
      <c r="I1321" s="1">
        <v>0.26700000000000002</v>
      </c>
      <c r="J1321" s="1">
        <v>2</v>
      </c>
    </row>
    <row r="1322" spans="1:10" x14ac:dyDescent="0.2">
      <c r="A1322" s="1" t="s">
        <v>5110</v>
      </c>
      <c r="B1322" s="1" t="s">
        <v>5109</v>
      </c>
      <c r="C1322" s="1" t="s">
        <v>5108</v>
      </c>
      <c r="D1322" s="2" t="str">
        <f t="shared" si="20"/>
        <v>http://zfin.org/ZDB-GENE-030131-223</v>
      </c>
      <c r="E1322" s="1" t="s">
        <v>5107</v>
      </c>
      <c r="F1322" s="1">
        <v>6.1071921718440902E-3</v>
      </c>
      <c r="G1322" s="1">
        <v>-0.29860137225095201</v>
      </c>
      <c r="H1322" s="1">
        <v>4.3999999999999997E-2</v>
      </c>
      <c r="I1322" s="1">
        <v>0.2</v>
      </c>
      <c r="J1322" s="1">
        <v>2</v>
      </c>
    </row>
    <row r="1323" spans="1:10" x14ac:dyDescent="0.2">
      <c r="A1323" s="1" t="s">
        <v>5106</v>
      </c>
      <c r="B1323" s="1" t="s">
        <v>5105</v>
      </c>
      <c r="D1323" s="2" t="str">
        <f t="shared" si="20"/>
        <v>http://zfin.org/</v>
      </c>
      <c r="E1323" s="1" t="s">
        <v>4625</v>
      </c>
      <c r="F1323" s="1">
        <v>6.5228389538893197E-4</v>
      </c>
      <c r="G1323" s="1">
        <v>-0.29843746933947302</v>
      </c>
      <c r="H1323" s="1">
        <v>0.246</v>
      </c>
      <c r="I1323" s="1">
        <v>0.25</v>
      </c>
      <c r="J1323" s="1">
        <v>2</v>
      </c>
    </row>
    <row r="1324" spans="1:10" x14ac:dyDescent="0.2">
      <c r="A1324" s="1" t="s">
        <v>5104</v>
      </c>
      <c r="B1324" s="1" t="s">
        <v>5103</v>
      </c>
      <c r="C1324" s="1" t="s">
        <v>5102</v>
      </c>
      <c r="D1324" s="2" t="str">
        <f t="shared" si="20"/>
        <v>http://zfin.org/ZDB-GENE-050417-375</v>
      </c>
      <c r="E1324" s="1" t="s">
        <v>5101</v>
      </c>
      <c r="F1324" s="1">
        <v>1.06132270876202E-3</v>
      </c>
      <c r="G1324" s="1">
        <v>-0.29841133060963398</v>
      </c>
      <c r="H1324" s="1">
        <v>0.32500000000000001</v>
      </c>
      <c r="I1324" s="1">
        <v>0.433</v>
      </c>
      <c r="J1324" s="1">
        <v>2</v>
      </c>
    </row>
    <row r="1325" spans="1:10" x14ac:dyDescent="0.2">
      <c r="A1325" s="1" t="s">
        <v>5100</v>
      </c>
      <c r="B1325" s="1" t="s">
        <v>5099</v>
      </c>
      <c r="C1325" s="1" t="s">
        <v>5098</v>
      </c>
      <c r="D1325" s="2" t="str">
        <f t="shared" si="20"/>
        <v>http://zfin.org/ZDB-GENE-090312-92</v>
      </c>
      <c r="E1325" s="1" t="s">
        <v>5097</v>
      </c>
      <c r="F1325" s="1">
        <v>3.97374031180062E-3</v>
      </c>
      <c r="G1325" s="1">
        <v>-0.298329397450037</v>
      </c>
      <c r="H1325" s="1">
        <v>7.0000000000000007E-2</v>
      </c>
      <c r="I1325" s="1">
        <v>0.11700000000000001</v>
      </c>
      <c r="J1325" s="1">
        <v>2</v>
      </c>
    </row>
    <row r="1326" spans="1:10" x14ac:dyDescent="0.2">
      <c r="A1326" s="1" t="s">
        <v>5096</v>
      </c>
      <c r="B1326" s="1" t="s">
        <v>5095</v>
      </c>
      <c r="C1326" s="1" t="s">
        <v>5094</v>
      </c>
      <c r="D1326" s="2" t="str">
        <f t="shared" si="20"/>
        <v>http://zfin.org/ZDB-GENE-021030-3</v>
      </c>
      <c r="E1326" s="1" t="s">
        <v>5093</v>
      </c>
      <c r="F1326" s="1">
        <v>3.3598597605275898E-4</v>
      </c>
      <c r="G1326" s="1">
        <v>-0.29786386751906102</v>
      </c>
      <c r="H1326" s="1">
        <v>0.29799999999999999</v>
      </c>
      <c r="I1326" s="1">
        <v>0.36699999999999999</v>
      </c>
      <c r="J1326" s="1">
        <v>2</v>
      </c>
    </row>
    <row r="1327" spans="1:10" x14ac:dyDescent="0.2">
      <c r="A1327" s="1" t="s">
        <v>5092</v>
      </c>
      <c r="B1327" s="1" t="s">
        <v>5091</v>
      </c>
      <c r="C1327" s="1" t="s">
        <v>5090</v>
      </c>
      <c r="D1327" s="2" t="str">
        <f t="shared" si="20"/>
        <v>http://zfin.org/ZDB-GENE-040426-2289</v>
      </c>
      <c r="E1327" s="1" t="s">
        <v>5089</v>
      </c>
      <c r="F1327" s="1">
        <v>7.5387354070364301E-3</v>
      </c>
      <c r="G1327" s="1">
        <v>-0.29782445044807998</v>
      </c>
      <c r="H1327" s="1">
        <v>9.6000000000000002E-2</v>
      </c>
      <c r="I1327" s="1">
        <v>0.23300000000000001</v>
      </c>
      <c r="J1327" s="1">
        <v>2</v>
      </c>
    </row>
    <row r="1328" spans="1:10" x14ac:dyDescent="0.2">
      <c r="A1328" s="1" t="s">
        <v>5088</v>
      </c>
      <c r="B1328" s="1" t="s">
        <v>5087</v>
      </c>
      <c r="C1328" s="1" t="s">
        <v>5086</v>
      </c>
      <c r="D1328" s="2" t="str">
        <f t="shared" si="20"/>
        <v>http://zfin.org/ZDB-GENE-040426-2051</v>
      </c>
      <c r="E1328" s="1" t="s">
        <v>5085</v>
      </c>
      <c r="F1328" s="3">
        <v>3.8863601890005302E-5</v>
      </c>
      <c r="G1328" s="1">
        <v>-0.29757363711725399</v>
      </c>
      <c r="H1328" s="1">
        <v>9.6000000000000002E-2</v>
      </c>
      <c r="I1328" s="1">
        <v>0.217</v>
      </c>
      <c r="J1328" s="1">
        <v>2</v>
      </c>
    </row>
    <row r="1329" spans="1:10" x14ac:dyDescent="0.2">
      <c r="A1329" s="1" t="s">
        <v>5084</v>
      </c>
      <c r="B1329" s="1" t="s">
        <v>5083</v>
      </c>
      <c r="C1329" s="1" t="s">
        <v>5082</v>
      </c>
      <c r="D1329" s="2" t="str">
        <f t="shared" si="20"/>
        <v>http://zfin.org/ZDB-GENE-050417-274</v>
      </c>
      <c r="E1329" s="1" t="s">
        <v>5081</v>
      </c>
      <c r="F1329" s="1">
        <v>2.3410455761657301E-4</v>
      </c>
      <c r="G1329" s="1">
        <v>-0.29751324607741397</v>
      </c>
      <c r="H1329" s="1">
        <v>0.67500000000000004</v>
      </c>
      <c r="I1329" s="1">
        <v>0.68300000000000005</v>
      </c>
      <c r="J1329" s="1">
        <v>2</v>
      </c>
    </row>
    <row r="1330" spans="1:10" x14ac:dyDescent="0.2">
      <c r="A1330" s="1" t="s">
        <v>5080</v>
      </c>
      <c r="B1330" s="1" t="s">
        <v>5079</v>
      </c>
      <c r="C1330" s="1" t="s">
        <v>5078</v>
      </c>
      <c r="D1330" s="2" t="str">
        <f t="shared" si="20"/>
        <v>http://zfin.org/ZDB-GENE-040426-1094</v>
      </c>
      <c r="E1330" s="1" t="s">
        <v>5077</v>
      </c>
      <c r="F1330" s="3">
        <v>5.4652663641364903E-5</v>
      </c>
      <c r="G1330" s="1">
        <v>-0.297369502349698</v>
      </c>
      <c r="H1330" s="1">
        <v>0.28100000000000003</v>
      </c>
      <c r="I1330" s="1">
        <v>0.33300000000000002</v>
      </c>
      <c r="J1330" s="1">
        <v>2</v>
      </c>
    </row>
    <row r="1331" spans="1:10" x14ac:dyDescent="0.2">
      <c r="A1331" s="1" t="s">
        <v>5076</v>
      </c>
      <c r="B1331" s="1" t="s">
        <v>5075</v>
      </c>
      <c r="C1331" s="1" t="s">
        <v>5074</v>
      </c>
      <c r="D1331" s="2" t="str">
        <f t="shared" si="20"/>
        <v>http://zfin.org/ZDB-GENE-030131-3544</v>
      </c>
      <c r="E1331" s="1" t="s">
        <v>5073</v>
      </c>
      <c r="F1331" s="3">
        <v>7.4743668652579498E-6</v>
      </c>
      <c r="G1331" s="1">
        <v>-0.29722726147467599</v>
      </c>
      <c r="H1331" s="1">
        <v>0.27200000000000002</v>
      </c>
      <c r="I1331" s="1">
        <v>0.36699999999999999</v>
      </c>
      <c r="J1331" s="1">
        <v>2</v>
      </c>
    </row>
    <row r="1332" spans="1:10" x14ac:dyDescent="0.2">
      <c r="A1332" s="1" t="s">
        <v>5072</v>
      </c>
      <c r="B1332" s="1" t="s">
        <v>5071</v>
      </c>
      <c r="C1332" s="1" t="s">
        <v>5070</v>
      </c>
      <c r="D1332" s="2" t="str">
        <f t="shared" si="20"/>
        <v>http://zfin.org/ZDB-GENE-040426-1546</v>
      </c>
      <c r="E1332" s="1" t="s">
        <v>5069</v>
      </c>
      <c r="F1332" s="1">
        <v>2.01153964252971E-2</v>
      </c>
      <c r="G1332" s="1">
        <v>-0.29684491500314403</v>
      </c>
      <c r="H1332" s="1">
        <v>0.123</v>
      </c>
      <c r="I1332" s="1">
        <v>0.3</v>
      </c>
      <c r="J1332" s="1">
        <v>2</v>
      </c>
    </row>
    <row r="1333" spans="1:10" x14ac:dyDescent="0.2">
      <c r="A1333" s="1" t="s">
        <v>5068</v>
      </c>
      <c r="B1333" s="1" t="s">
        <v>5067</v>
      </c>
      <c r="C1333" s="1" t="s">
        <v>5066</v>
      </c>
      <c r="D1333" s="2" t="str">
        <f t="shared" si="20"/>
        <v>http://zfin.org/ZDB-GENE-040109-1</v>
      </c>
      <c r="E1333" s="1" t="s">
        <v>5065</v>
      </c>
      <c r="F1333" s="1">
        <v>6.6632723770805201E-4</v>
      </c>
      <c r="G1333" s="1">
        <v>-0.29638242097129702</v>
      </c>
      <c r="H1333" s="1">
        <v>0.28100000000000003</v>
      </c>
      <c r="I1333" s="1">
        <v>0.4</v>
      </c>
      <c r="J1333" s="1">
        <v>2</v>
      </c>
    </row>
    <row r="1334" spans="1:10" x14ac:dyDescent="0.2">
      <c r="A1334" s="1" t="s">
        <v>5064</v>
      </c>
      <c r="B1334" s="1" t="s">
        <v>5063</v>
      </c>
      <c r="C1334" s="1" t="s">
        <v>5062</v>
      </c>
      <c r="D1334" s="2" t="str">
        <f t="shared" si="20"/>
        <v>http://zfin.org/ZDB-GENE-040426-2273</v>
      </c>
      <c r="E1334" s="1" t="s">
        <v>5061</v>
      </c>
      <c r="F1334" s="1">
        <v>5.4384393011911597E-4</v>
      </c>
      <c r="G1334" s="1">
        <v>-0.29634773210130799</v>
      </c>
      <c r="H1334" s="1">
        <v>3.5000000000000003E-2</v>
      </c>
      <c r="I1334" s="1">
        <v>0.13300000000000001</v>
      </c>
      <c r="J1334" s="1">
        <v>2</v>
      </c>
    </row>
    <row r="1335" spans="1:10" x14ac:dyDescent="0.2">
      <c r="A1335" s="1" t="s">
        <v>2741</v>
      </c>
      <c r="B1335" s="1" t="s">
        <v>2740</v>
      </c>
      <c r="C1335" s="1" t="s">
        <v>2739</v>
      </c>
      <c r="D1335" s="2" t="str">
        <f t="shared" si="20"/>
        <v>http://zfin.org/ZDB-GENE-990415-95</v>
      </c>
      <c r="E1335" s="1" t="s">
        <v>5060</v>
      </c>
      <c r="F1335" s="1">
        <v>1.49805897828856E-3</v>
      </c>
      <c r="G1335" s="1">
        <v>-0.29631838510633401</v>
      </c>
      <c r="H1335" s="1">
        <v>1</v>
      </c>
      <c r="I1335" s="1">
        <v>1</v>
      </c>
      <c r="J1335" s="1">
        <v>2</v>
      </c>
    </row>
    <row r="1336" spans="1:10" x14ac:dyDescent="0.2">
      <c r="A1336" s="1" t="s">
        <v>5059</v>
      </c>
      <c r="B1336" s="1" t="s">
        <v>5058</v>
      </c>
      <c r="C1336" s="1" t="s">
        <v>5057</v>
      </c>
      <c r="D1336" s="2" t="str">
        <f t="shared" si="20"/>
        <v>http://zfin.org/ZDB-GENE-050706-71</v>
      </c>
      <c r="E1336" s="1" t="s">
        <v>5056</v>
      </c>
      <c r="F1336" s="3">
        <v>3.2613101821806203E-5</v>
      </c>
      <c r="G1336" s="1">
        <v>-0.29520167006648101</v>
      </c>
      <c r="H1336" s="1">
        <v>0.76300000000000001</v>
      </c>
      <c r="I1336" s="1">
        <v>0.7</v>
      </c>
      <c r="J1336" s="1">
        <v>2</v>
      </c>
    </row>
    <row r="1337" spans="1:10" x14ac:dyDescent="0.2">
      <c r="A1337" s="1" t="s">
        <v>5055</v>
      </c>
      <c r="B1337" s="1" t="s">
        <v>5054</v>
      </c>
      <c r="C1337" s="1" t="s">
        <v>5053</v>
      </c>
      <c r="D1337" s="2" t="str">
        <f t="shared" si="20"/>
        <v>http://zfin.org/ZDB-GENE-030131-464</v>
      </c>
      <c r="E1337" s="1" t="s">
        <v>5052</v>
      </c>
      <c r="F1337" s="3">
        <v>8.1711400450081695E-6</v>
      </c>
      <c r="G1337" s="1">
        <v>-0.29439773011412101</v>
      </c>
      <c r="H1337" s="1">
        <v>5.2999999999999999E-2</v>
      </c>
      <c r="I1337" s="1">
        <v>0.15</v>
      </c>
      <c r="J1337" s="1">
        <v>2</v>
      </c>
    </row>
    <row r="1338" spans="1:10" x14ac:dyDescent="0.2">
      <c r="A1338" s="1" t="s">
        <v>3357</v>
      </c>
      <c r="B1338" s="1" t="s">
        <v>3356</v>
      </c>
      <c r="C1338" s="1" t="s">
        <v>3355</v>
      </c>
      <c r="D1338" s="2" t="str">
        <f t="shared" si="20"/>
        <v>http://zfin.org/ZDB-GENE-080204-83</v>
      </c>
      <c r="E1338" s="1" t="s">
        <v>5051</v>
      </c>
      <c r="F1338" s="1">
        <v>8.7663896598169904E-3</v>
      </c>
      <c r="G1338" s="1">
        <v>-0.29436195817747601</v>
      </c>
      <c r="H1338" s="1">
        <v>0.26300000000000001</v>
      </c>
      <c r="I1338" s="1">
        <v>0.4</v>
      </c>
      <c r="J1338" s="1">
        <v>2</v>
      </c>
    </row>
    <row r="1339" spans="1:10" x14ac:dyDescent="0.2">
      <c r="A1339" s="1" t="s">
        <v>3788</v>
      </c>
      <c r="B1339" s="1" t="s">
        <v>3787</v>
      </c>
      <c r="C1339" s="1" t="s">
        <v>3786</v>
      </c>
      <c r="D1339" s="2" t="str">
        <f t="shared" si="20"/>
        <v>http://zfin.org/ZDB-GENE-090508-16</v>
      </c>
      <c r="E1339" s="1" t="s">
        <v>5050</v>
      </c>
      <c r="F1339" s="1">
        <v>3.6805893514489798E-4</v>
      </c>
      <c r="G1339" s="1">
        <v>-0.294126579333296</v>
      </c>
      <c r="H1339" s="1">
        <v>0.14000000000000001</v>
      </c>
      <c r="I1339" s="1">
        <v>0.25</v>
      </c>
      <c r="J1339" s="1">
        <v>2</v>
      </c>
    </row>
    <row r="1340" spans="1:10" x14ac:dyDescent="0.2">
      <c r="A1340" s="1" t="s">
        <v>5049</v>
      </c>
      <c r="B1340" s="1" t="s">
        <v>5048</v>
      </c>
      <c r="C1340" s="1" t="s">
        <v>5047</v>
      </c>
      <c r="D1340" s="2" t="str">
        <f t="shared" si="20"/>
        <v>http://zfin.org/ZDB-GENE-060929-1082</v>
      </c>
      <c r="E1340" s="1" t="s">
        <v>5046</v>
      </c>
      <c r="F1340" s="3">
        <v>1.1139731846110701E-6</v>
      </c>
      <c r="G1340" s="1">
        <v>-0.29396745479452602</v>
      </c>
      <c r="H1340" s="1">
        <v>0.23699999999999999</v>
      </c>
      <c r="I1340" s="1">
        <v>0.28299999999999997</v>
      </c>
      <c r="J1340" s="1">
        <v>2</v>
      </c>
    </row>
    <row r="1341" spans="1:10" x14ac:dyDescent="0.2">
      <c r="A1341" s="1" t="s">
        <v>3351</v>
      </c>
      <c r="B1341" s="1" t="s">
        <v>3350</v>
      </c>
      <c r="C1341" s="1" t="s">
        <v>3349</v>
      </c>
      <c r="D1341" s="2" t="str">
        <f t="shared" si="20"/>
        <v>http://zfin.org/ZDB-GENE-060825-91</v>
      </c>
      <c r="E1341" s="1" t="s">
        <v>5045</v>
      </c>
      <c r="F1341" s="3">
        <v>1.2814166588531499E-5</v>
      </c>
      <c r="G1341" s="1">
        <v>-0.29380533614549398</v>
      </c>
      <c r="H1341" s="1">
        <v>0.20200000000000001</v>
      </c>
      <c r="I1341" s="1">
        <v>0.25</v>
      </c>
      <c r="J1341" s="1">
        <v>2</v>
      </c>
    </row>
    <row r="1342" spans="1:10" x14ac:dyDescent="0.2">
      <c r="A1342" s="1" t="s">
        <v>5044</v>
      </c>
      <c r="B1342" s="1" t="s">
        <v>5043</v>
      </c>
      <c r="C1342" s="1" t="s">
        <v>5042</v>
      </c>
      <c r="D1342" s="2" t="str">
        <f t="shared" si="20"/>
        <v>http://zfin.org/ZDB-GENE-030131-879</v>
      </c>
      <c r="E1342" s="1" t="s">
        <v>5041</v>
      </c>
      <c r="F1342" s="1">
        <v>6.4277510291495393E-2</v>
      </c>
      <c r="G1342" s="1">
        <v>-0.29366130592141299</v>
      </c>
      <c r="H1342" s="1">
        <v>0.43</v>
      </c>
      <c r="I1342" s="1">
        <v>0.55000000000000004</v>
      </c>
      <c r="J1342" s="1">
        <v>2</v>
      </c>
    </row>
    <row r="1343" spans="1:10" x14ac:dyDescent="0.2">
      <c r="A1343" s="1" t="s">
        <v>5040</v>
      </c>
      <c r="B1343" s="1" t="s">
        <v>5039</v>
      </c>
      <c r="C1343" s="1" t="s">
        <v>5038</v>
      </c>
      <c r="D1343" s="2" t="str">
        <f t="shared" si="20"/>
        <v>http://zfin.org/ZDB-GENE-030131-6657</v>
      </c>
      <c r="E1343" s="1" t="s">
        <v>5037</v>
      </c>
      <c r="F1343" s="1">
        <v>1.51247422440388E-2</v>
      </c>
      <c r="G1343" s="1">
        <v>-0.29360073510562401</v>
      </c>
      <c r="H1343" s="1">
        <v>0.28100000000000003</v>
      </c>
      <c r="I1343" s="1">
        <v>0.33300000000000002</v>
      </c>
      <c r="J1343" s="1">
        <v>2</v>
      </c>
    </row>
    <row r="1344" spans="1:10" x14ac:dyDescent="0.2">
      <c r="A1344" s="1" t="s">
        <v>3609</v>
      </c>
      <c r="B1344" s="1" t="s">
        <v>3608</v>
      </c>
      <c r="C1344" s="1" t="s">
        <v>3607</v>
      </c>
      <c r="D1344" s="2" t="str">
        <f t="shared" si="20"/>
        <v>http://zfin.org/ZDB-GENE-050417-176</v>
      </c>
      <c r="E1344" s="1" t="s">
        <v>5036</v>
      </c>
      <c r="F1344" s="3">
        <v>8.4923759386233298E-5</v>
      </c>
      <c r="G1344" s="1">
        <v>-0.29278445638284201</v>
      </c>
      <c r="H1344" s="1">
        <v>0.34200000000000003</v>
      </c>
      <c r="I1344" s="1">
        <v>0.38300000000000001</v>
      </c>
      <c r="J1344" s="1">
        <v>2</v>
      </c>
    </row>
    <row r="1345" spans="1:10" x14ac:dyDescent="0.2">
      <c r="A1345" s="1" t="s">
        <v>3279</v>
      </c>
      <c r="B1345" s="1" t="s">
        <v>3278</v>
      </c>
      <c r="C1345" s="1" t="s">
        <v>3277</v>
      </c>
      <c r="D1345" s="2" t="str">
        <f t="shared" si="20"/>
        <v>http://zfin.org/ZDB-GENE-030131-4918</v>
      </c>
      <c r="E1345" s="1" t="s">
        <v>5035</v>
      </c>
      <c r="F1345" s="1">
        <v>5.7819793088581203E-4</v>
      </c>
      <c r="G1345" s="1">
        <v>-0.292610433313723</v>
      </c>
      <c r="H1345" s="1">
        <v>0.80700000000000005</v>
      </c>
      <c r="I1345" s="1">
        <v>0.78300000000000003</v>
      </c>
      <c r="J1345" s="1">
        <v>2</v>
      </c>
    </row>
    <row r="1346" spans="1:10" x14ac:dyDescent="0.2">
      <c r="A1346" s="1" t="s">
        <v>5034</v>
      </c>
      <c r="B1346" s="1" t="s">
        <v>5033</v>
      </c>
      <c r="D1346" s="2" t="str">
        <f t="shared" ref="D1346:D1409" si="21">HYPERLINK(E1346)</f>
        <v>http://zfin.org/</v>
      </c>
      <c r="E1346" s="1" t="s">
        <v>4625</v>
      </c>
      <c r="F1346" s="1">
        <v>3.7097589251083098E-4</v>
      </c>
      <c r="G1346" s="1">
        <v>-0.292589287502526</v>
      </c>
      <c r="H1346" s="1">
        <v>2.5999999999999999E-2</v>
      </c>
      <c r="I1346" s="1">
        <v>0.13300000000000001</v>
      </c>
      <c r="J1346" s="1">
        <v>2</v>
      </c>
    </row>
    <row r="1347" spans="1:10" x14ac:dyDescent="0.2">
      <c r="A1347" s="1" t="s">
        <v>5032</v>
      </c>
      <c r="B1347" s="1" t="s">
        <v>5031</v>
      </c>
      <c r="C1347" s="1" t="s">
        <v>5030</v>
      </c>
      <c r="D1347" s="2" t="str">
        <f t="shared" si="21"/>
        <v>http://zfin.org/ZDB-GENE-040426-1817</v>
      </c>
      <c r="E1347" s="1" t="s">
        <v>5029</v>
      </c>
      <c r="F1347" s="3">
        <v>5.3347065727166598E-6</v>
      </c>
      <c r="G1347" s="1">
        <v>-0.292563561659413</v>
      </c>
      <c r="H1347" s="1">
        <v>0.123</v>
      </c>
      <c r="I1347" s="1">
        <v>0.2</v>
      </c>
      <c r="J1347" s="1">
        <v>2</v>
      </c>
    </row>
    <row r="1348" spans="1:10" x14ac:dyDescent="0.2">
      <c r="A1348" s="1" t="s">
        <v>4331</v>
      </c>
      <c r="B1348" s="1" t="s">
        <v>4330</v>
      </c>
      <c r="C1348" s="1" t="s">
        <v>4329</v>
      </c>
      <c r="D1348" s="2" t="str">
        <f t="shared" si="21"/>
        <v>http://zfin.org/ZDB-GENE-080709-1</v>
      </c>
      <c r="E1348" s="1" t="s">
        <v>5028</v>
      </c>
      <c r="F1348" s="1">
        <v>1.76060105171681E-3</v>
      </c>
      <c r="G1348" s="1">
        <v>-0.292132115656211</v>
      </c>
      <c r="H1348" s="1">
        <v>0.48199999999999998</v>
      </c>
      <c r="I1348" s="1">
        <v>0.56699999999999995</v>
      </c>
      <c r="J1348" s="1">
        <v>2</v>
      </c>
    </row>
    <row r="1349" spans="1:10" x14ac:dyDescent="0.2">
      <c r="A1349" s="1" t="s">
        <v>5027</v>
      </c>
      <c r="B1349" s="1" t="s">
        <v>839</v>
      </c>
      <c r="C1349" s="1" t="s">
        <v>838</v>
      </c>
      <c r="D1349" s="2" t="str">
        <f t="shared" si="21"/>
        <v>http://zfin.org/ZDB-GENE-050417-65</v>
      </c>
      <c r="E1349" s="1" t="s">
        <v>5026</v>
      </c>
      <c r="F1349" s="3">
        <v>1.7697534420085699E-6</v>
      </c>
      <c r="G1349" s="1">
        <v>-0.291939826175596</v>
      </c>
      <c r="H1349" s="1">
        <v>0.95599999999999996</v>
      </c>
      <c r="I1349" s="1">
        <v>0.86699999999999999</v>
      </c>
      <c r="J1349" s="1">
        <v>2</v>
      </c>
    </row>
    <row r="1350" spans="1:10" x14ac:dyDescent="0.2">
      <c r="A1350" s="1" t="s">
        <v>5025</v>
      </c>
      <c r="B1350" s="1" t="s">
        <v>5024</v>
      </c>
      <c r="C1350" s="1" t="s">
        <v>5023</v>
      </c>
      <c r="D1350" s="2" t="str">
        <f t="shared" si="21"/>
        <v>http://zfin.org/ZDB-GENE-040801-86</v>
      </c>
      <c r="E1350" s="1" t="s">
        <v>5022</v>
      </c>
      <c r="F1350" s="3">
        <v>7.3136632625653402E-6</v>
      </c>
      <c r="G1350" s="1">
        <v>-0.29163331043084301</v>
      </c>
      <c r="H1350" s="1">
        <v>4.3999999999999997E-2</v>
      </c>
      <c r="I1350" s="1">
        <v>0.13300000000000001</v>
      </c>
      <c r="J1350" s="1">
        <v>2</v>
      </c>
    </row>
    <row r="1351" spans="1:10" x14ac:dyDescent="0.2">
      <c r="A1351" s="1" t="s">
        <v>5021</v>
      </c>
      <c r="B1351" s="1" t="s">
        <v>5020</v>
      </c>
      <c r="C1351" s="1" t="s">
        <v>5019</v>
      </c>
      <c r="D1351" s="2" t="str">
        <f t="shared" si="21"/>
        <v>http://zfin.org/ZDB-GENE-030616-159</v>
      </c>
      <c r="E1351" s="1" t="s">
        <v>5018</v>
      </c>
      <c r="F1351" s="3">
        <v>5.1362051946363403E-5</v>
      </c>
      <c r="G1351" s="1">
        <v>-0.291181190109501</v>
      </c>
      <c r="H1351" s="1">
        <v>9.6000000000000002E-2</v>
      </c>
      <c r="I1351" s="1">
        <v>0.23300000000000001</v>
      </c>
      <c r="J1351" s="1">
        <v>2</v>
      </c>
    </row>
    <row r="1352" spans="1:10" x14ac:dyDescent="0.2">
      <c r="A1352" s="1" t="s">
        <v>5017</v>
      </c>
      <c r="B1352" s="1" t="s">
        <v>5016</v>
      </c>
      <c r="C1352" s="1" t="s">
        <v>5015</v>
      </c>
      <c r="D1352" s="2" t="str">
        <f t="shared" si="21"/>
        <v>http://zfin.org/ZDB-GENE-030616-156</v>
      </c>
      <c r="E1352" s="1" t="s">
        <v>5014</v>
      </c>
      <c r="F1352" s="1">
        <v>1.65457483651031E-2</v>
      </c>
      <c r="G1352" s="1">
        <v>-0.29105735137180899</v>
      </c>
      <c r="H1352" s="1">
        <v>0.20200000000000001</v>
      </c>
      <c r="I1352" s="1">
        <v>0.33300000000000002</v>
      </c>
      <c r="J1352" s="1">
        <v>2</v>
      </c>
    </row>
    <row r="1353" spans="1:10" x14ac:dyDescent="0.2">
      <c r="A1353" s="1" t="s">
        <v>5013</v>
      </c>
      <c r="B1353" s="1" t="s">
        <v>5012</v>
      </c>
      <c r="C1353" s="1" t="s">
        <v>5011</v>
      </c>
      <c r="D1353" s="2" t="str">
        <f t="shared" si="21"/>
        <v>http://zfin.org/ZDB-GENE-050417-28</v>
      </c>
      <c r="E1353" s="1" t="s">
        <v>5010</v>
      </c>
      <c r="F1353" s="1">
        <v>1.76100534152986E-4</v>
      </c>
      <c r="G1353" s="1">
        <v>-0.29077271149762901</v>
      </c>
      <c r="H1353" s="1">
        <v>5.2999999999999999E-2</v>
      </c>
      <c r="I1353" s="1">
        <v>0.13300000000000001</v>
      </c>
      <c r="J1353" s="1">
        <v>2</v>
      </c>
    </row>
    <row r="1354" spans="1:10" x14ac:dyDescent="0.2">
      <c r="A1354" s="1" t="s">
        <v>5009</v>
      </c>
      <c r="B1354" s="1" t="s">
        <v>5008</v>
      </c>
      <c r="C1354" s="1" t="s">
        <v>5007</v>
      </c>
      <c r="D1354" s="2" t="str">
        <f t="shared" si="21"/>
        <v>http://zfin.org/ZDB-GENE-030131-362</v>
      </c>
      <c r="E1354" s="1" t="s">
        <v>5006</v>
      </c>
      <c r="F1354" s="1">
        <v>4.3203762558233802E-4</v>
      </c>
      <c r="G1354" s="1">
        <v>-0.29059259172744101</v>
      </c>
      <c r="H1354" s="1">
        <v>0.184</v>
      </c>
      <c r="I1354" s="1">
        <v>0.28299999999999997</v>
      </c>
      <c r="J1354" s="1">
        <v>2</v>
      </c>
    </row>
    <row r="1355" spans="1:10" x14ac:dyDescent="0.2">
      <c r="A1355" s="1" t="s">
        <v>5005</v>
      </c>
      <c r="B1355" s="1" t="s">
        <v>5004</v>
      </c>
      <c r="C1355" s="1" t="s">
        <v>5003</v>
      </c>
      <c r="D1355" s="2" t="str">
        <f t="shared" si="21"/>
        <v>http://zfin.org/ZDB-GENE-040801-68</v>
      </c>
      <c r="E1355" s="1" t="s">
        <v>5002</v>
      </c>
      <c r="F1355" s="1">
        <v>1.4748563798362001E-2</v>
      </c>
      <c r="G1355" s="1">
        <v>-0.290307345785704</v>
      </c>
      <c r="H1355" s="1">
        <v>0.20200000000000001</v>
      </c>
      <c r="I1355" s="1">
        <v>0.35</v>
      </c>
      <c r="J1355" s="1">
        <v>2</v>
      </c>
    </row>
    <row r="1356" spans="1:10" x14ac:dyDescent="0.2">
      <c r="A1356" s="1" t="s">
        <v>5001</v>
      </c>
      <c r="B1356" s="1" t="s">
        <v>5000</v>
      </c>
      <c r="C1356" s="1" t="s">
        <v>4999</v>
      </c>
      <c r="D1356" s="2" t="str">
        <f t="shared" si="21"/>
        <v>http://zfin.org/ZDB-GENE-050706-68</v>
      </c>
      <c r="E1356" s="1" t="s">
        <v>4998</v>
      </c>
      <c r="F1356" s="1">
        <v>1.4569680622088701E-3</v>
      </c>
      <c r="G1356" s="1">
        <v>-0.29017280669763701</v>
      </c>
      <c r="H1356" s="1">
        <v>0</v>
      </c>
      <c r="I1356" s="1">
        <v>0.11700000000000001</v>
      </c>
      <c r="J1356" s="1">
        <v>2</v>
      </c>
    </row>
    <row r="1357" spans="1:10" x14ac:dyDescent="0.2">
      <c r="A1357" s="1" t="s">
        <v>4003</v>
      </c>
      <c r="B1357" s="1" t="s">
        <v>4002</v>
      </c>
      <c r="C1357" s="1" t="s">
        <v>4001</v>
      </c>
      <c r="D1357" s="2" t="str">
        <f t="shared" si="21"/>
        <v>http://zfin.org/ZDB-GENE-060825-144</v>
      </c>
      <c r="E1357" s="1" t="s">
        <v>4997</v>
      </c>
      <c r="F1357" s="1">
        <v>7.8441079356978999E-4</v>
      </c>
      <c r="G1357" s="1">
        <v>-0.29002229555428699</v>
      </c>
      <c r="H1357" s="1">
        <v>0.21099999999999999</v>
      </c>
      <c r="I1357" s="1">
        <v>0.28299999999999997</v>
      </c>
      <c r="J1357" s="1">
        <v>2</v>
      </c>
    </row>
    <row r="1358" spans="1:10" x14ac:dyDescent="0.2">
      <c r="A1358" s="1" t="s">
        <v>4996</v>
      </c>
      <c r="B1358" s="1" t="s">
        <v>4995</v>
      </c>
      <c r="C1358" s="1" t="s">
        <v>4994</v>
      </c>
      <c r="D1358" s="2" t="str">
        <f t="shared" si="21"/>
        <v>http://zfin.org/ZDB-GENE-030131-5871</v>
      </c>
      <c r="E1358" s="1" t="s">
        <v>4993</v>
      </c>
      <c r="F1358" s="1">
        <v>4.0622945609246897E-2</v>
      </c>
      <c r="G1358" s="1">
        <v>-0.289656783353406</v>
      </c>
      <c r="H1358" s="1">
        <v>0.123</v>
      </c>
      <c r="I1358" s="1">
        <v>0.26700000000000002</v>
      </c>
      <c r="J1358" s="1">
        <v>2</v>
      </c>
    </row>
    <row r="1359" spans="1:10" x14ac:dyDescent="0.2">
      <c r="A1359" s="1" t="s">
        <v>4992</v>
      </c>
      <c r="B1359" s="1" t="s">
        <v>4991</v>
      </c>
      <c r="C1359" s="1" t="s">
        <v>4990</v>
      </c>
      <c r="D1359" s="2" t="str">
        <f t="shared" si="21"/>
        <v>http://zfin.org/ZDB-GENE-061013-552</v>
      </c>
      <c r="E1359" s="1" t="s">
        <v>4989</v>
      </c>
      <c r="F1359" s="3">
        <v>6.0619632731237498E-5</v>
      </c>
      <c r="G1359" s="1">
        <v>-0.28923497371908702</v>
      </c>
      <c r="H1359" s="1">
        <v>0.193</v>
      </c>
      <c r="I1359" s="1">
        <v>0.25</v>
      </c>
      <c r="J1359" s="1">
        <v>2</v>
      </c>
    </row>
    <row r="1360" spans="1:10" x14ac:dyDescent="0.2">
      <c r="A1360" s="1" t="s">
        <v>4988</v>
      </c>
      <c r="B1360" s="1" t="s">
        <v>4987</v>
      </c>
      <c r="C1360" s="1" t="s">
        <v>4986</v>
      </c>
      <c r="D1360" s="2" t="str">
        <f t="shared" si="21"/>
        <v>http://zfin.org/ZDB-GENE-040426-2147</v>
      </c>
      <c r="E1360" s="1" t="s">
        <v>4985</v>
      </c>
      <c r="F1360" s="1">
        <v>5.7338421201011099E-3</v>
      </c>
      <c r="G1360" s="1">
        <v>-0.28917516477555499</v>
      </c>
      <c r="H1360" s="1">
        <v>0.36799999999999999</v>
      </c>
      <c r="I1360" s="1">
        <v>0.48299999999999998</v>
      </c>
      <c r="J1360" s="1">
        <v>2</v>
      </c>
    </row>
    <row r="1361" spans="1:10" x14ac:dyDescent="0.2">
      <c r="A1361" s="1" t="s">
        <v>4984</v>
      </c>
      <c r="B1361" s="1" t="s">
        <v>4983</v>
      </c>
      <c r="C1361" s="1" t="s">
        <v>4982</v>
      </c>
      <c r="D1361" s="2" t="str">
        <f t="shared" si="21"/>
        <v>http://zfin.org/ZDB-GENE-041021-2</v>
      </c>
      <c r="E1361" s="1" t="s">
        <v>4981</v>
      </c>
      <c r="F1361" s="3">
        <v>9.5356035891338007E-6</v>
      </c>
      <c r="G1361" s="1">
        <v>-0.28906573950660402</v>
      </c>
      <c r="H1361" s="1">
        <v>0.184</v>
      </c>
      <c r="I1361" s="1">
        <v>0.26700000000000002</v>
      </c>
      <c r="J1361" s="1">
        <v>2</v>
      </c>
    </row>
    <row r="1362" spans="1:10" x14ac:dyDescent="0.2">
      <c r="A1362" s="1" t="s">
        <v>4980</v>
      </c>
      <c r="B1362" s="1" t="s">
        <v>4979</v>
      </c>
      <c r="C1362" s="1" t="s">
        <v>4978</v>
      </c>
      <c r="D1362" s="2" t="str">
        <f t="shared" si="21"/>
        <v>http://zfin.org/ZDB-GENE-040426-1728</v>
      </c>
      <c r="E1362" s="1" t="s">
        <v>4977</v>
      </c>
      <c r="F1362" s="1">
        <v>3.0042013576944901E-3</v>
      </c>
      <c r="G1362" s="1">
        <v>-0.28905991376851597</v>
      </c>
      <c r="H1362" s="1">
        <v>0.377</v>
      </c>
      <c r="I1362" s="1">
        <v>0.46700000000000003</v>
      </c>
      <c r="J1362" s="1">
        <v>2</v>
      </c>
    </row>
    <row r="1363" spans="1:10" x14ac:dyDescent="0.2">
      <c r="A1363" s="1" t="s">
        <v>4976</v>
      </c>
      <c r="B1363" s="1" t="s">
        <v>4975</v>
      </c>
      <c r="C1363" s="1" t="s">
        <v>4974</v>
      </c>
      <c r="D1363" s="2" t="str">
        <f t="shared" si="21"/>
        <v>http://zfin.org/ZDB-GENE-030131-3782</v>
      </c>
      <c r="E1363" s="1" t="s">
        <v>4973</v>
      </c>
      <c r="F1363" s="3">
        <v>2.06971977919038E-9</v>
      </c>
      <c r="G1363" s="1">
        <v>-0.28863411982007497</v>
      </c>
      <c r="H1363" s="1">
        <v>0.14899999999999999</v>
      </c>
      <c r="I1363" s="1">
        <v>0.15</v>
      </c>
      <c r="J1363" s="1">
        <v>2</v>
      </c>
    </row>
    <row r="1364" spans="1:10" x14ac:dyDescent="0.2">
      <c r="A1364" s="1" t="s">
        <v>4972</v>
      </c>
      <c r="B1364" s="1" t="s">
        <v>4971</v>
      </c>
      <c r="C1364" s="1" t="s">
        <v>4970</v>
      </c>
      <c r="D1364" s="2" t="str">
        <f t="shared" si="21"/>
        <v>http://zfin.org/ZDB-GENE-040516-9</v>
      </c>
      <c r="E1364" s="1" t="s">
        <v>4969</v>
      </c>
      <c r="F1364" s="1">
        <v>3.9568843740741197E-2</v>
      </c>
      <c r="G1364" s="1">
        <v>-0.287981825114282</v>
      </c>
      <c r="H1364" s="1">
        <v>0.158</v>
      </c>
      <c r="I1364" s="1">
        <v>0.317</v>
      </c>
      <c r="J1364" s="1">
        <v>2</v>
      </c>
    </row>
    <row r="1365" spans="1:10" x14ac:dyDescent="0.2">
      <c r="A1365" s="1" t="s">
        <v>4968</v>
      </c>
      <c r="B1365" s="1" t="s">
        <v>4967</v>
      </c>
      <c r="C1365" s="1" t="s">
        <v>4966</v>
      </c>
      <c r="D1365" s="2" t="str">
        <f t="shared" si="21"/>
        <v>http://zfin.org/ZDB-GENE-040426-1619</v>
      </c>
      <c r="E1365" s="1" t="s">
        <v>4965</v>
      </c>
      <c r="F1365" s="3">
        <v>8.6915069328688695E-5</v>
      </c>
      <c r="G1365" s="1">
        <v>-0.28766837192351702</v>
      </c>
      <c r="H1365" s="1">
        <v>0.21099999999999999</v>
      </c>
      <c r="I1365" s="1">
        <v>0.26700000000000002</v>
      </c>
      <c r="J1365" s="1">
        <v>2</v>
      </c>
    </row>
    <row r="1366" spans="1:10" x14ac:dyDescent="0.2">
      <c r="A1366" s="1" t="s">
        <v>4964</v>
      </c>
      <c r="B1366" s="1" t="s">
        <v>4963</v>
      </c>
      <c r="C1366" s="1" t="s">
        <v>4962</v>
      </c>
      <c r="D1366" s="2" t="str">
        <f t="shared" si="21"/>
        <v>http://zfin.org/ZDB-GENE-040426-1011</v>
      </c>
      <c r="E1366" s="1" t="s">
        <v>4961</v>
      </c>
      <c r="F1366" s="1">
        <v>2.5314416122899398E-4</v>
      </c>
      <c r="G1366" s="1">
        <v>-0.28743008624421401</v>
      </c>
      <c r="H1366" s="1">
        <v>0.114</v>
      </c>
      <c r="I1366" s="1">
        <v>0.2</v>
      </c>
      <c r="J1366" s="1">
        <v>2</v>
      </c>
    </row>
    <row r="1367" spans="1:10" x14ac:dyDescent="0.2">
      <c r="A1367" s="1" t="s">
        <v>4960</v>
      </c>
      <c r="B1367" s="1" t="s">
        <v>4959</v>
      </c>
      <c r="C1367" s="1" t="s">
        <v>4958</v>
      </c>
      <c r="D1367" s="2" t="str">
        <f t="shared" si="21"/>
        <v>http://zfin.org/ZDB-GENE-040826-2</v>
      </c>
      <c r="E1367" s="1" t="s">
        <v>4957</v>
      </c>
      <c r="F1367" s="1">
        <v>5.24349711348834E-3</v>
      </c>
      <c r="G1367" s="1">
        <v>-0.28739203515662898</v>
      </c>
      <c r="H1367" s="1">
        <v>9.6000000000000002E-2</v>
      </c>
      <c r="I1367" s="1">
        <v>0.217</v>
      </c>
      <c r="J1367" s="1">
        <v>2</v>
      </c>
    </row>
    <row r="1368" spans="1:10" x14ac:dyDescent="0.2">
      <c r="A1368" s="1" t="s">
        <v>1786</v>
      </c>
      <c r="B1368" s="1" t="s">
        <v>1785</v>
      </c>
      <c r="C1368" s="1" t="s">
        <v>1784</v>
      </c>
      <c r="D1368" s="2" t="str">
        <f t="shared" si="21"/>
        <v>http://zfin.org/ZDB-GENE-030131-210</v>
      </c>
      <c r="E1368" s="1" t="s">
        <v>4956</v>
      </c>
      <c r="F1368" s="1">
        <v>3.5050331658976502E-2</v>
      </c>
      <c r="G1368" s="1">
        <v>-0.28710757977363999</v>
      </c>
      <c r="H1368" s="1">
        <v>0.36799999999999999</v>
      </c>
      <c r="I1368" s="1">
        <v>0.45</v>
      </c>
      <c r="J1368" s="1">
        <v>2</v>
      </c>
    </row>
    <row r="1369" spans="1:10" x14ac:dyDescent="0.2">
      <c r="A1369" s="1" t="s">
        <v>4955</v>
      </c>
      <c r="B1369" s="1" t="s">
        <v>4954</v>
      </c>
      <c r="C1369" s="1" t="s">
        <v>4953</v>
      </c>
      <c r="D1369" s="2" t="str">
        <f t="shared" si="21"/>
        <v>http://zfin.org/ZDB-GENE-050522-30</v>
      </c>
      <c r="E1369" s="1" t="s">
        <v>4952</v>
      </c>
      <c r="F1369" s="3">
        <v>5.2490053161938698E-7</v>
      </c>
      <c r="G1369" s="1">
        <v>-0.28687729822058</v>
      </c>
      <c r="H1369" s="1">
        <v>0.377</v>
      </c>
      <c r="I1369" s="1">
        <v>0.35</v>
      </c>
      <c r="J1369" s="1">
        <v>2</v>
      </c>
    </row>
    <row r="1370" spans="1:10" x14ac:dyDescent="0.2">
      <c r="A1370" s="1" t="s">
        <v>4951</v>
      </c>
      <c r="B1370" s="1" t="s">
        <v>4950</v>
      </c>
      <c r="C1370" s="1" t="s">
        <v>4949</v>
      </c>
      <c r="D1370" s="2" t="str">
        <f t="shared" si="21"/>
        <v>http://zfin.org/ZDB-GENE-030131-6596</v>
      </c>
      <c r="E1370" s="1" t="s">
        <v>4948</v>
      </c>
      <c r="F1370" s="3">
        <v>8.4695133711087797E-6</v>
      </c>
      <c r="G1370" s="1">
        <v>-0.28630805694113698</v>
      </c>
      <c r="H1370" s="1">
        <v>9.6000000000000002E-2</v>
      </c>
      <c r="I1370" s="1">
        <v>0.15</v>
      </c>
      <c r="J1370" s="1">
        <v>2</v>
      </c>
    </row>
    <row r="1371" spans="1:10" x14ac:dyDescent="0.2">
      <c r="A1371" s="1" t="s">
        <v>4947</v>
      </c>
      <c r="B1371" s="1" t="s">
        <v>4946</v>
      </c>
      <c r="C1371" s="1" t="s">
        <v>4945</v>
      </c>
      <c r="D1371" s="2" t="str">
        <f t="shared" si="21"/>
        <v>http://zfin.org/ZDB-GENE-030131-330</v>
      </c>
      <c r="E1371" s="1" t="s">
        <v>4944</v>
      </c>
      <c r="F1371" s="1">
        <v>8.37887161336768E-4</v>
      </c>
      <c r="G1371" s="1">
        <v>-0.28615885168755201</v>
      </c>
      <c r="H1371" s="1">
        <v>0.71099999999999997</v>
      </c>
      <c r="I1371" s="1">
        <v>0.66700000000000004</v>
      </c>
      <c r="J1371" s="1">
        <v>2</v>
      </c>
    </row>
    <row r="1372" spans="1:10" x14ac:dyDescent="0.2">
      <c r="A1372" s="1" t="s">
        <v>4943</v>
      </c>
      <c r="B1372" s="1" t="s">
        <v>4942</v>
      </c>
      <c r="C1372" s="1" t="s">
        <v>4941</v>
      </c>
      <c r="D1372" s="2" t="str">
        <f t="shared" si="21"/>
        <v>http://zfin.org/ZDB-GENE-030131-66</v>
      </c>
      <c r="E1372" s="1" t="s">
        <v>4940</v>
      </c>
      <c r="F1372" s="1">
        <v>1.52331154732623E-4</v>
      </c>
      <c r="G1372" s="1">
        <v>-0.28611578650924602</v>
      </c>
      <c r="H1372" s="1">
        <v>0.46500000000000002</v>
      </c>
      <c r="I1372" s="1">
        <v>0.53300000000000003</v>
      </c>
      <c r="J1372" s="1">
        <v>2</v>
      </c>
    </row>
    <row r="1373" spans="1:10" x14ac:dyDescent="0.2">
      <c r="A1373" s="1" t="s">
        <v>4939</v>
      </c>
      <c r="B1373" s="1" t="s">
        <v>4938</v>
      </c>
      <c r="C1373" s="1" t="s">
        <v>4937</v>
      </c>
      <c r="D1373" s="2" t="str">
        <f t="shared" si="21"/>
        <v>http://zfin.org/ZDB-GENE-030131-8680</v>
      </c>
      <c r="E1373" s="1" t="s">
        <v>4936</v>
      </c>
      <c r="F1373" s="1">
        <v>1.03745342558898E-2</v>
      </c>
      <c r="G1373" s="1">
        <v>-0.28582966749922001</v>
      </c>
      <c r="H1373" s="1">
        <v>0.33300000000000002</v>
      </c>
      <c r="I1373" s="1">
        <v>0.46700000000000003</v>
      </c>
      <c r="J1373" s="1">
        <v>2</v>
      </c>
    </row>
    <row r="1374" spans="1:10" x14ac:dyDescent="0.2">
      <c r="A1374" s="1" t="s">
        <v>4935</v>
      </c>
      <c r="B1374" s="1" t="s">
        <v>4934</v>
      </c>
      <c r="C1374" s="1" t="s">
        <v>4933</v>
      </c>
      <c r="D1374" s="2" t="str">
        <f t="shared" si="21"/>
        <v>http://zfin.org/ZDB-GENE-030131-9031</v>
      </c>
      <c r="E1374" s="1" t="s">
        <v>4932</v>
      </c>
      <c r="F1374" s="1">
        <v>0.121064685070185</v>
      </c>
      <c r="G1374" s="1">
        <v>-0.28577731114524701</v>
      </c>
      <c r="H1374" s="1">
        <v>0.20200000000000001</v>
      </c>
      <c r="I1374" s="1">
        <v>0.3</v>
      </c>
      <c r="J1374" s="1">
        <v>2</v>
      </c>
    </row>
    <row r="1375" spans="1:10" x14ac:dyDescent="0.2">
      <c r="A1375" s="1" t="s">
        <v>4931</v>
      </c>
      <c r="B1375" s="1" t="s">
        <v>4930</v>
      </c>
      <c r="C1375" s="1" t="s">
        <v>4929</v>
      </c>
      <c r="D1375" s="2" t="str">
        <f t="shared" si="21"/>
        <v>http://zfin.org/ZDB-GENE-020419-30</v>
      </c>
      <c r="E1375" s="1" t="s">
        <v>4928</v>
      </c>
      <c r="F1375" s="1">
        <v>4.2109989457229498E-2</v>
      </c>
      <c r="G1375" s="1">
        <v>-0.28570083721449802</v>
      </c>
      <c r="H1375" s="1">
        <v>0.184</v>
      </c>
      <c r="I1375" s="1">
        <v>0.3</v>
      </c>
      <c r="J1375" s="1">
        <v>2</v>
      </c>
    </row>
    <row r="1376" spans="1:10" x14ac:dyDescent="0.2">
      <c r="A1376" s="1" t="s">
        <v>4024</v>
      </c>
      <c r="B1376" s="1" t="s">
        <v>4023</v>
      </c>
      <c r="C1376" s="1" t="s">
        <v>4022</v>
      </c>
      <c r="D1376" s="2" t="str">
        <f t="shared" si="21"/>
        <v>http://zfin.org/ZDB-GENE-030912-11</v>
      </c>
      <c r="E1376" s="1" t="s">
        <v>4927</v>
      </c>
      <c r="F1376" s="3">
        <v>1.34220012131846E-5</v>
      </c>
      <c r="G1376" s="1">
        <v>-0.28566980779247197</v>
      </c>
      <c r="H1376" s="1">
        <v>0.36799999999999999</v>
      </c>
      <c r="I1376" s="1">
        <v>0.38300000000000001</v>
      </c>
      <c r="J1376" s="1">
        <v>2</v>
      </c>
    </row>
    <row r="1377" spans="1:10" x14ac:dyDescent="0.2">
      <c r="A1377" s="1" t="s">
        <v>4926</v>
      </c>
      <c r="B1377" s="1" t="s">
        <v>4925</v>
      </c>
      <c r="C1377" s="1" t="s">
        <v>4924</v>
      </c>
      <c r="D1377" s="2" t="str">
        <f t="shared" si="21"/>
        <v>http://zfin.org/ZDB-GENE-030131-8714</v>
      </c>
      <c r="E1377" s="1" t="s">
        <v>4923</v>
      </c>
      <c r="F1377" s="1">
        <v>7.3535999416783995E-4</v>
      </c>
      <c r="G1377" s="1">
        <v>-0.28538819848654801</v>
      </c>
      <c r="H1377" s="1">
        <v>0.16700000000000001</v>
      </c>
      <c r="I1377" s="1">
        <v>0.25</v>
      </c>
      <c r="J1377" s="1">
        <v>2</v>
      </c>
    </row>
    <row r="1378" spans="1:10" x14ac:dyDescent="0.2">
      <c r="A1378" s="1" t="s">
        <v>4922</v>
      </c>
      <c r="B1378" s="1" t="s">
        <v>4921</v>
      </c>
      <c r="C1378" s="1" t="s">
        <v>4920</v>
      </c>
      <c r="D1378" s="2" t="str">
        <f t="shared" si="21"/>
        <v>http://zfin.org/ZDB-GENE-040718-204</v>
      </c>
      <c r="E1378" s="1" t="s">
        <v>4919</v>
      </c>
      <c r="F1378" s="3">
        <v>1.5149754681768099E-6</v>
      </c>
      <c r="G1378" s="1">
        <v>-0.28527345431782403</v>
      </c>
      <c r="H1378" s="1">
        <v>0.377</v>
      </c>
      <c r="I1378" s="1">
        <v>0.41699999999999998</v>
      </c>
      <c r="J1378" s="1">
        <v>2</v>
      </c>
    </row>
    <row r="1379" spans="1:10" x14ac:dyDescent="0.2">
      <c r="A1379" s="1" t="s">
        <v>4918</v>
      </c>
      <c r="B1379" s="1" t="s">
        <v>4917</v>
      </c>
      <c r="C1379" s="1" t="s">
        <v>4916</v>
      </c>
      <c r="D1379" s="2" t="str">
        <f t="shared" si="21"/>
        <v>http://zfin.org/ZDB-GENE-030131-275</v>
      </c>
      <c r="E1379" s="1" t="s">
        <v>4915</v>
      </c>
      <c r="F1379" s="1">
        <v>4.24428698551206E-2</v>
      </c>
      <c r="G1379" s="1">
        <v>-0.28499091114149</v>
      </c>
      <c r="H1379" s="1">
        <v>0.23699999999999999</v>
      </c>
      <c r="I1379" s="1">
        <v>0.45</v>
      </c>
      <c r="J1379" s="1">
        <v>2</v>
      </c>
    </row>
    <row r="1380" spans="1:10" x14ac:dyDescent="0.2">
      <c r="A1380" s="1" t="s">
        <v>4914</v>
      </c>
      <c r="B1380" s="1" t="s">
        <v>4913</v>
      </c>
      <c r="C1380" s="1" t="s">
        <v>4912</v>
      </c>
      <c r="D1380" s="2" t="str">
        <f t="shared" si="21"/>
        <v>http://zfin.org/ZDB-GENE-990415-248</v>
      </c>
      <c r="E1380" s="1" t="s">
        <v>4911</v>
      </c>
      <c r="F1380" s="3">
        <v>6.3113844517829404E-6</v>
      </c>
      <c r="G1380" s="1">
        <v>-0.28483194743000101</v>
      </c>
      <c r="H1380" s="1">
        <v>0.49099999999999999</v>
      </c>
      <c r="I1380" s="1">
        <v>0.45</v>
      </c>
      <c r="J1380" s="1">
        <v>2</v>
      </c>
    </row>
    <row r="1381" spans="1:10" x14ac:dyDescent="0.2">
      <c r="A1381" s="1" t="s">
        <v>1813</v>
      </c>
      <c r="B1381" s="1" t="s">
        <v>1812</v>
      </c>
      <c r="C1381" s="1" t="s">
        <v>1811</v>
      </c>
      <c r="D1381" s="2" t="str">
        <f t="shared" si="21"/>
        <v>http://zfin.org/ZDB-GENE-030131-4426</v>
      </c>
      <c r="E1381" s="1" t="s">
        <v>4910</v>
      </c>
      <c r="F1381" s="3">
        <v>2.6768985595797901E-9</v>
      </c>
      <c r="G1381" s="1">
        <v>-0.28451577595972299</v>
      </c>
      <c r="H1381" s="1">
        <v>0.14000000000000001</v>
      </c>
      <c r="I1381" s="1">
        <v>0.16700000000000001</v>
      </c>
      <c r="J1381" s="1">
        <v>2</v>
      </c>
    </row>
    <row r="1382" spans="1:10" x14ac:dyDescent="0.2">
      <c r="A1382" s="1" t="s">
        <v>4909</v>
      </c>
      <c r="B1382" s="1" t="s">
        <v>4908</v>
      </c>
      <c r="C1382" s="1" t="s">
        <v>4907</v>
      </c>
      <c r="D1382" s="2" t="str">
        <f t="shared" si="21"/>
        <v>http://zfin.org/ZDB-GENE-030131-4633</v>
      </c>
      <c r="E1382" s="1" t="s">
        <v>4906</v>
      </c>
      <c r="F1382" s="3">
        <v>6.5027488449869499E-5</v>
      </c>
      <c r="G1382" s="1">
        <v>-0.28400731328963402</v>
      </c>
      <c r="H1382" s="1">
        <v>0.114</v>
      </c>
      <c r="I1382" s="1">
        <v>0.16700000000000001</v>
      </c>
      <c r="J1382" s="1">
        <v>2</v>
      </c>
    </row>
    <row r="1383" spans="1:10" x14ac:dyDescent="0.2">
      <c r="A1383" s="1" t="s">
        <v>4905</v>
      </c>
      <c r="B1383" s="1" t="s">
        <v>4904</v>
      </c>
      <c r="C1383" s="1" t="s">
        <v>4903</v>
      </c>
      <c r="D1383" s="2" t="str">
        <f t="shared" si="21"/>
        <v>http://zfin.org/ZDB-GENE-040808-29</v>
      </c>
      <c r="E1383" s="1" t="s">
        <v>4902</v>
      </c>
      <c r="F1383" s="3">
        <v>4.3495118063661997E-6</v>
      </c>
      <c r="G1383" s="1">
        <v>-0.28392966896544602</v>
      </c>
      <c r="H1383" s="1">
        <v>0.16700000000000001</v>
      </c>
      <c r="I1383" s="1">
        <v>0.3</v>
      </c>
      <c r="J1383" s="1">
        <v>2</v>
      </c>
    </row>
    <row r="1384" spans="1:10" x14ac:dyDescent="0.2">
      <c r="A1384" s="1" t="s">
        <v>4901</v>
      </c>
      <c r="B1384" s="1" t="s">
        <v>4900</v>
      </c>
      <c r="C1384" s="1" t="s">
        <v>4899</v>
      </c>
      <c r="D1384" s="2" t="str">
        <f t="shared" si="21"/>
        <v>http://zfin.org/</v>
      </c>
      <c r="E1384" s="1" t="s">
        <v>4625</v>
      </c>
      <c r="F1384" s="1">
        <v>6.9589678245214398E-4</v>
      </c>
      <c r="G1384" s="1">
        <v>-0.283639566089469</v>
      </c>
      <c r="H1384" s="1">
        <v>0.14899999999999999</v>
      </c>
      <c r="I1384" s="1">
        <v>0.16700000000000001</v>
      </c>
      <c r="J1384" s="1">
        <v>2</v>
      </c>
    </row>
    <row r="1385" spans="1:10" x14ac:dyDescent="0.2">
      <c r="A1385" s="1" t="s">
        <v>4898</v>
      </c>
      <c r="B1385" s="1" t="s">
        <v>4897</v>
      </c>
      <c r="C1385" s="1" t="s">
        <v>4896</v>
      </c>
      <c r="D1385" s="2" t="str">
        <f t="shared" si="21"/>
        <v>http://zfin.org/ZDB-GENE-030131-3085</v>
      </c>
      <c r="E1385" s="1" t="s">
        <v>4895</v>
      </c>
      <c r="F1385" s="1">
        <v>4.4293828833719103E-3</v>
      </c>
      <c r="G1385" s="1">
        <v>-0.28341116630253299</v>
      </c>
      <c r="H1385" s="1">
        <v>0.55300000000000005</v>
      </c>
      <c r="I1385" s="1">
        <v>0.6</v>
      </c>
      <c r="J1385" s="1">
        <v>2</v>
      </c>
    </row>
    <row r="1386" spans="1:10" x14ac:dyDescent="0.2">
      <c r="A1386" s="1" t="s">
        <v>4894</v>
      </c>
      <c r="B1386" s="1" t="s">
        <v>4893</v>
      </c>
      <c r="C1386" s="1" t="s">
        <v>4892</v>
      </c>
      <c r="D1386" s="2" t="str">
        <f t="shared" si="21"/>
        <v>http://zfin.org/ZDB-GENE-030131-1558</v>
      </c>
      <c r="E1386" s="1" t="s">
        <v>4891</v>
      </c>
      <c r="F1386" s="1">
        <v>3.17100129539219E-3</v>
      </c>
      <c r="G1386" s="1">
        <v>-0.28287584653372899</v>
      </c>
      <c r="H1386" s="1">
        <v>0.377</v>
      </c>
      <c r="I1386" s="1">
        <v>0.46700000000000003</v>
      </c>
      <c r="J1386" s="1">
        <v>2</v>
      </c>
    </row>
    <row r="1387" spans="1:10" x14ac:dyDescent="0.2">
      <c r="A1387" s="1" t="s">
        <v>2659</v>
      </c>
      <c r="B1387" s="1" t="s">
        <v>2658</v>
      </c>
      <c r="C1387" s="1" t="s">
        <v>2657</v>
      </c>
      <c r="D1387" s="2" t="str">
        <f t="shared" si="21"/>
        <v>http://zfin.org/ZDB-GENE-030131-2804</v>
      </c>
      <c r="E1387" s="1" t="s">
        <v>4890</v>
      </c>
      <c r="F1387" s="1">
        <v>2.3142091545481501E-3</v>
      </c>
      <c r="G1387" s="1">
        <v>-0.282859856432229</v>
      </c>
      <c r="H1387" s="1">
        <v>0.114</v>
      </c>
      <c r="I1387" s="1">
        <v>0.25</v>
      </c>
      <c r="J1387" s="1">
        <v>2</v>
      </c>
    </row>
    <row r="1388" spans="1:10" x14ac:dyDescent="0.2">
      <c r="A1388" s="1" t="s">
        <v>4889</v>
      </c>
      <c r="B1388" s="1" t="s">
        <v>4888</v>
      </c>
      <c r="C1388" s="1" t="s">
        <v>4887</v>
      </c>
      <c r="D1388" s="2" t="str">
        <f t="shared" si="21"/>
        <v>http://zfin.org/ZDB-GENE-081104-140</v>
      </c>
      <c r="E1388" s="1" t="s">
        <v>4886</v>
      </c>
      <c r="F1388" s="1">
        <v>1.21951716734618E-2</v>
      </c>
      <c r="G1388" s="1">
        <v>-0.28223948882202698</v>
      </c>
      <c r="H1388" s="1">
        <v>8.9999999999999993E-3</v>
      </c>
      <c r="I1388" s="1">
        <v>0.13300000000000001</v>
      </c>
      <c r="J1388" s="1">
        <v>2</v>
      </c>
    </row>
    <row r="1389" spans="1:10" x14ac:dyDescent="0.2">
      <c r="A1389" s="1" t="s">
        <v>4885</v>
      </c>
      <c r="B1389" s="1" t="s">
        <v>4884</v>
      </c>
      <c r="C1389" s="1" t="s">
        <v>4883</v>
      </c>
      <c r="D1389" s="2" t="str">
        <f t="shared" si="21"/>
        <v>http://zfin.org/ZDB-GENE-040724-146</v>
      </c>
      <c r="E1389" s="1" t="s">
        <v>4882</v>
      </c>
      <c r="F1389" s="1">
        <v>1.40648931867239E-2</v>
      </c>
      <c r="G1389" s="1">
        <v>-0.28194150816192698</v>
      </c>
      <c r="H1389" s="1">
        <v>6.0999999999999999E-2</v>
      </c>
      <c r="I1389" s="1">
        <v>0.183</v>
      </c>
      <c r="J1389" s="1">
        <v>2</v>
      </c>
    </row>
    <row r="1390" spans="1:10" x14ac:dyDescent="0.2">
      <c r="A1390" s="1" t="s">
        <v>184</v>
      </c>
      <c r="B1390" s="1" t="s">
        <v>183</v>
      </c>
      <c r="C1390" s="1" t="s">
        <v>185</v>
      </c>
      <c r="D1390" s="2" t="str">
        <f t="shared" si="21"/>
        <v>http://zfin.org/ZDB-GENE-030131-8417</v>
      </c>
      <c r="E1390" s="1" t="s">
        <v>4881</v>
      </c>
      <c r="F1390" s="3">
        <v>3.5762998239720502E-6</v>
      </c>
      <c r="G1390" s="1">
        <v>-0.28166825282567598</v>
      </c>
      <c r="H1390" s="1">
        <v>0.95599999999999996</v>
      </c>
      <c r="I1390" s="1">
        <v>0.88300000000000001</v>
      </c>
      <c r="J1390" s="1">
        <v>2</v>
      </c>
    </row>
    <row r="1391" spans="1:10" x14ac:dyDescent="0.2">
      <c r="A1391" s="1" t="s">
        <v>4880</v>
      </c>
      <c r="B1391" s="1" t="s">
        <v>4879</v>
      </c>
      <c r="C1391" s="1" t="s">
        <v>4878</v>
      </c>
      <c r="D1391" s="2" t="str">
        <f t="shared" si="21"/>
        <v>http://zfin.org/ZDB-GENE-030131-5499</v>
      </c>
      <c r="E1391" s="1" t="s">
        <v>4877</v>
      </c>
      <c r="F1391" s="1">
        <v>2.3766883714523802E-3</v>
      </c>
      <c r="G1391" s="1">
        <v>-0.28089248791520199</v>
      </c>
      <c r="H1391" s="1">
        <v>5.2999999999999999E-2</v>
      </c>
      <c r="I1391" s="1">
        <v>0.23300000000000001</v>
      </c>
      <c r="J1391" s="1">
        <v>2</v>
      </c>
    </row>
    <row r="1392" spans="1:10" x14ac:dyDescent="0.2">
      <c r="A1392" s="1" t="s">
        <v>4876</v>
      </c>
      <c r="B1392" s="1" t="s">
        <v>4875</v>
      </c>
      <c r="C1392" s="1" t="s">
        <v>4874</v>
      </c>
      <c r="D1392" s="2" t="str">
        <f t="shared" si="21"/>
        <v>http://zfin.org/ZDB-GENE-050522-479</v>
      </c>
      <c r="E1392" s="1" t="s">
        <v>4873</v>
      </c>
      <c r="F1392" s="3">
        <v>2.74247470509748E-6</v>
      </c>
      <c r="G1392" s="1">
        <v>-0.28072270934906202</v>
      </c>
      <c r="H1392" s="1">
        <v>0.64900000000000002</v>
      </c>
      <c r="I1392" s="1">
        <v>0.58299999999999996</v>
      </c>
      <c r="J1392" s="1">
        <v>2</v>
      </c>
    </row>
    <row r="1393" spans="1:10" x14ac:dyDescent="0.2">
      <c r="A1393" s="1" t="s">
        <v>4872</v>
      </c>
      <c r="B1393" s="1" t="s">
        <v>4871</v>
      </c>
      <c r="C1393" s="1" t="s">
        <v>4870</v>
      </c>
      <c r="D1393" s="2" t="str">
        <f t="shared" si="21"/>
        <v>http://zfin.org/ZDB-GENE-030131-3196</v>
      </c>
      <c r="E1393" s="1" t="s">
        <v>4869</v>
      </c>
      <c r="F1393" s="3">
        <v>7.9175971766963603E-6</v>
      </c>
      <c r="G1393" s="1">
        <v>-0.28042998177925199</v>
      </c>
      <c r="H1393" s="1">
        <v>0.14899999999999999</v>
      </c>
      <c r="I1393" s="1">
        <v>0.26700000000000002</v>
      </c>
      <c r="J1393" s="1">
        <v>2</v>
      </c>
    </row>
    <row r="1394" spans="1:10" x14ac:dyDescent="0.2">
      <c r="A1394" s="1" t="s">
        <v>4868</v>
      </c>
      <c r="B1394" s="1" t="s">
        <v>4867</v>
      </c>
      <c r="C1394" s="1" t="s">
        <v>4866</v>
      </c>
      <c r="D1394" s="2" t="str">
        <f t="shared" si="21"/>
        <v>http://zfin.org/ZDB-GENE-050809-12</v>
      </c>
      <c r="E1394" s="1" t="s">
        <v>4865</v>
      </c>
      <c r="F1394" s="1">
        <v>1.6332719807955799E-2</v>
      </c>
      <c r="G1394" s="1">
        <v>-0.279391100175436</v>
      </c>
      <c r="H1394" s="1">
        <v>0.123</v>
      </c>
      <c r="I1394" s="1">
        <v>0.317</v>
      </c>
      <c r="J1394" s="1">
        <v>2</v>
      </c>
    </row>
    <row r="1395" spans="1:10" x14ac:dyDescent="0.2">
      <c r="A1395" s="1" t="s">
        <v>4864</v>
      </c>
      <c r="B1395" s="1" t="s">
        <v>4863</v>
      </c>
      <c r="C1395" s="1" t="s">
        <v>4862</v>
      </c>
      <c r="D1395" s="2" t="str">
        <f t="shared" si="21"/>
        <v>http://zfin.org/ZDB-GENE-021125-1</v>
      </c>
      <c r="E1395" s="1" t="s">
        <v>4861</v>
      </c>
      <c r="F1395" s="1">
        <v>4.94453985365872E-2</v>
      </c>
      <c r="G1395" s="1">
        <v>-0.27926954607438398</v>
      </c>
      <c r="H1395" s="1">
        <v>0.13200000000000001</v>
      </c>
      <c r="I1395" s="1">
        <v>0.26700000000000002</v>
      </c>
      <c r="J1395" s="1">
        <v>2</v>
      </c>
    </row>
    <row r="1396" spans="1:10" x14ac:dyDescent="0.2">
      <c r="A1396" s="1" t="s">
        <v>4860</v>
      </c>
      <c r="B1396" s="1" t="s">
        <v>4859</v>
      </c>
      <c r="C1396" s="1" t="s">
        <v>4858</v>
      </c>
      <c r="D1396" s="2" t="str">
        <f t="shared" si="21"/>
        <v>http://zfin.org/ZDB-GENE-040827-3</v>
      </c>
      <c r="E1396" s="1" t="s">
        <v>4857</v>
      </c>
      <c r="F1396" s="3">
        <v>1.8908893991653102E-5</v>
      </c>
      <c r="G1396" s="1">
        <v>-0.27916271128388498</v>
      </c>
      <c r="H1396" s="1">
        <v>0.28100000000000003</v>
      </c>
      <c r="I1396" s="1">
        <v>0.317</v>
      </c>
      <c r="J1396" s="1">
        <v>2</v>
      </c>
    </row>
    <row r="1397" spans="1:10" x14ac:dyDescent="0.2">
      <c r="A1397" s="1" t="s">
        <v>4856</v>
      </c>
      <c r="B1397" s="1" t="s">
        <v>4855</v>
      </c>
      <c r="C1397" s="1" t="s">
        <v>4854</v>
      </c>
      <c r="D1397" s="2" t="str">
        <f t="shared" si="21"/>
        <v>http://zfin.org/ZDB-GENE-990415-27</v>
      </c>
      <c r="E1397" s="1" t="s">
        <v>4853</v>
      </c>
      <c r="F1397" s="1">
        <v>4.3984706265839002E-2</v>
      </c>
      <c r="G1397" s="1">
        <v>-0.27914829539500502</v>
      </c>
      <c r="H1397" s="1">
        <v>0.39500000000000002</v>
      </c>
      <c r="I1397" s="1">
        <v>0.51700000000000002</v>
      </c>
      <c r="J1397" s="1">
        <v>2</v>
      </c>
    </row>
    <row r="1398" spans="1:10" x14ac:dyDescent="0.2">
      <c r="A1398" s="1" t="s">
        <v>4852</v>
      </c>
      <c r="B1398" s="1" t="s">
        <v>4851</v>
      </c>
      <c r="C1398" s="1" t="s">
        <v>4850</v>
      </c>
      <c r="D1398" s="2" t="str">
        <f t="shared" si="21"/>
        <v>http://zfin.org/ZDB-GENE-040426-2435</v>
      </c>
      <c r="E1398" s="1" t="s">
        <v>4849</v>
      </c>
      <c r="F1398" s="1">
        <v>9.9124924466756207E-4</v>
      </c>
      <c r="G1398" s="1">
        <v>-0.27883038922954301</v>
      </c>
      <c r="H1398" s="1">
        <v>9.6000000000000002E-2</v>
      </c>
      <c r="I1398" s="1">
        <v>0.2</v>
      </c>
      <c r="J1398" s="1">
        <v>2</v>
      </c>
    </row>
    <row r="1399" spans="1:10" x14ac:dyDescent="0.2">
      <c r="A1399" s="1" t="s">
        <v>4848</v>
      </c>
      <c r="B1399" s="1" t="s">
        <v>4847</v>
      </c>
      <c r="C1399" s="1" t="s">
        <v>4846</v>
      </c>
      <c r="D1399" s="2" t="str">
        <f t="shared" si="21"/>
        <v>http://zfin.org/ZDB-GENE-050913-123</v>
      </c>
      <c r="E1399" s="1" t="s">
        <v>4845</v>
      </c>
      <c r="F1399" s="1">
        <v>9.3467460783526503E-3</v>
      </c>
      <c r="G1399" s="1">
        <v>-0.278801948879354</v>
      </c>
      <c r="H1399" s="1">
        <v>3.5000000000000003E-2</v>
      </c>
      <c r="I1399" s="1">
        <v>0.16700000000000001</v>
      </c>
      <c r="J1399" s="1">
        <v>2</v>
      </c>
    </row>
    <row r="1400" spans="1:10" x14ac:dyDescent="0.2">
      <c r="A1400" s="1" t="s">
        <v>4844</v>
      </c>
      <c r="B1400" s="1" t="s">
        <v>4843</v>
      </c>
      <c r="C1400" s="1" t="s">
        <v>4842</v>
      </c>
      <c r="D1400" s="2" t="str">
        <f t="shared" si="21"/>
        <v>http://zfin.org/ZDB-GENE-030326-1</v>
      </c>
      <c r="E1400" s="1" t="s">
        <v>4841</v>
      </c>
      <c r="F1400" s="1">
        <v>1.1008526658583899E-3</v>
      </c>
      <c r="G1400" s="1">
        <v>-0.27871487094796399</v>
      </c>
      <c r="H1400" s="1">
        <v>0.38600000000000001</v>
      </c>
      <c r="I1400" s="1">
        <v>0.433</v>
      </c>
      <c r="J1400" s="1">
        <v>2</v>
      </c>
    </row>
    <row r="1401" spans="1:10" x14ac:dyDescent="0.2">
      <c r="A1401" s="1" t="s">
        <v>4840</v>
      </c>
      <c r="B1401" s="1" t="s">
        <v>4839</v>
      </c>
      <c r="C1401" s="1" t="s">
        <v>4838</v>
      </c>
      <c r="D1401" s="2" t="str">
        <f t="shared" si="21"/>
        <v>http://zfin.org/ZDB-GENE-030826-21</v>
      </c>
      <c r="E1401" s="1" t="s">
        <v>4837</v>
      </c>
      <c r="F1401" s="1">
        <v>2.1041602280687699E-3</v>
      </c>
      <c r="G1401" s="1">
        <v>-0.27849586976680202</v>
      </c>
      <c r="H1401" s="1">
        <v>0.78900000000000003</v>
      </c>
      <c r="I1401" s="1">
        <v>0.75</v>
      </c>
      <c r="J1401" s="1">
        <v>2</v>
      </c>
    </row>
    <row r="1402" spans="1:10" x14ac:dyDescent="0.2">
      <c r="A1402" s="1" t="s">
        <v>4836</v>
      </c>
      <c r="B1402" s="1" t="s">
        <v>4835</v>
      </c>
      <c r="C1402" s="1" t="s">
        <v>4834</v>
      </c>
      <c r="D1402" s="2" t="str">
        <f t="shared" si="21"/>
        <v>http://zfin.org/ZDB-GENE-060201-1</v>
      </c>
      <c r="E1402" s="1" t="s">
        <v>4833</v>
      </c>
      <c r="F1402" s="1">
        <v>2.2023688197622199E-4</v>
      </c>
      <c r="G1402" s="1">
        <v>-0.27846028485117902</v>
      </c>
      <c r="H1402" s="1">
        <v>0.86799999999999999</v>
      </c>
      <c r="I1402" s="1">
        <v>0.78300000000000003</v>
      </c>
      <c r="J1402" s="1">
        <v>2</v>
      </c>
    </row>
    <row r="1403" spans="1:10" x14ac:dyDescent="0.2">
      <c r="A1403" s="1" t="s">
        <v>4832</v>
      </c>
      <c r="B1403" s="1" t="s">
        <v>4831</v>
      </c>
      <c r="C1403" s="1" t="s">
        <v>4830</v>
      </c>
      <c r="D1403" s="2" t="str">
        <f t="shared" si="21"/>
        <v>http://zfin.org/ZDB-GENE-040822-30</v>
      </c>
      <c r="E1403" s="1" t="s">
        <v>4829</v>
      </c>
      <c r="F1403" s="1">
        <v>1.7208235920145401E-3</v>
      </c>
      <c r="G1403" s="1">
        <v>-0.27838862245414697</v>
      </c>
      <c r="H1403" s="1">
        <v>3.5000000000000003E-2</v>
      </c>
      <c r="I1403" s="1">
        <v>0.183</v>
      </c>
      <c r="J1403" s="1">
        <v>2</v>
      </c>
    </row>
    <row r="1404" spans="1:10" x14ac:dyDescent="0.2">
      <c r="A1404" s="1" t="s">
        <v>4828</v>
      </c>
      <c r="B1404" s="1" t="s">
        <v>4827</v>
      </c>
      <c r="C1404" s="1" t="s">
        <v>4826</v>
      </c>
      <c r="D1404" s="2" t="str">
        <f t="shared" si="21"/>
        <v>http://zfin.org/ZDB-GENE-141216-265</v>
      </c>
      <c r="E1404" s="1" t="s">
        <v>4825</v>
      </c>
      <c r="F1404" s="3">
        <v>1.80468985214342E-9</v>
      </c>
      <c r="G1404" s="1">
        <v>-0.27830962991217501</v>
      </c>
      <c r="H1404" s="1">
        <v>0.193</v>
      </c>
      <c r="I1404" s="1">
        <v>0.23300000000000001</v>
      </c>
      <c r="J1404" s="1">
        <v>2</v>
      </c>
    </row>
    <row r="1405" spans="1:10" x14ac:dyDescent="0.2">
      <c r="A1405" s="1" t="s">
        <v>4824</v>
      </c>
      <c r="B1405" s="1" t="s">
        <v>4823</v>
      </c>
      <c r="C1405" s="1" t="s">
        <v>4822</v>
      </c>
      <c r="D1405" s="2" t="str">
        <f t="shared" si="21"/>
        <v>http://zfin.org/ZDB-GENE-030131-954</v>
      </c>
      <c r="E1405" s="1" t="s">
        <v>4821</v>
      </c>
      <c r="F1405" s="1">
        <v>8.3868623685770505E-4</v>
      </c>
      <c r="G1405" s="1">
        <v>-0.27826879734575599</v>
      </c>
      <c r="H1405" s="1">
        <v>0.17499999999999999</v>
      </c>
      <c r="I1405" s="1">
        <v>0.25</v>
      </c>
      <c r="J1405" s="1">
        <v>2</v>
      </c>
    </row>
    <row r="1406" spans="1:10" x14ac:dyDescent="0.2">
      <c r="A1406" s="1" t="s">
        <v>4820</v>
      </c>
      <c r="B1406" s="1" t="s">
        <v>4819</v>
      </c>
      <c r="C1406" s="1" t="s">
        <v>4818</v>
      </c>
      <c r="D1406" s="2" t="str">
        <f t="shared" si="21"/>
        <v>http://zfin.org/ZDB-GENE-040718-348</v>
      </c>
      <c r="E1406" s="1" t="s">
        <v>4817</v>
      </c>
      <c r="F1406" s="3">
        <v>4.46942634424264E-6</v>
      </c>
      <c r="G1406" s="1">
        <v>-0.27800702115328002</v>
      </c>
      <c r="H1406" s="1">
        <v>0.47399999999999998</v>
      </c>
      <c r="I1406" s="1">
        <v>0.48299999999999998</v>
      </c>
      <c r="J1406" s="1">
        <v>2</v>
      </c>
    </row>
    <row r="1407" spans="1:10" x14ac:dyDescent="0.2">
      <c r="A1407" s="1" t="s">
        <v>4816</v>
      </c>
      <c r="B1407" s="1" t="s">
        <v>4815</v>
      </c>
      <c r="C1407" s="1" t="s">
        <v>4814</v>
      </c>
      <c r="D1407" s="2" t="str">
        <f t="shared" si="21"/>
        <v>http://zfin.org/ZDB-GENE-060503-297</v>
      </c>
      <c r="E1407" s="1" t="s">
        <v>4813</v>
      </c>
      <c r="F1407" s="1">
        <v>1.3507757816462801E-3</v>
      </c>
      <c r="G1407" s="1">
        <v>-0.277989797280981</v>
      </c>
      <c r="H1407" s="1">
        <v>7.0000000000000007E-2</v>
      </c>
      <c r="I1407" s="1">
        <v>0.217</v>
      </c>
      <c r="J1407" s="1">
        <v>2</v>
      </c>
    </row>
    <row r="1408" spans="1:10" x14ac:dyDescent="0.2">
      <c r="A1408" s="1" t="s">
        <v>4812</v>
      </c>
      <c r="B1408" s="1" t="s">
        <v>4811</v>
      </c>
      <c r="C1408" s="1" t="s">
        <v>4810</v>
      </c>
      <c r="D1408" s="2" t="str">
        <f t="shared" si="21"/>
        <v>http://zfin.org/ZDB-GENE-120709-30</v>
      </c>
      <c r="E1408" s="1" t="s">
        <v>4809</v>
      </c>
      <c r="F1408" s="1">
        <v>2.3150211525296099E-2</v>
      </c>
      <c r="G1408" s="1">
        <v>-0.27796854157838202</v>
      </c>
      <c r="H1408" s="1">
        <v>3.5000000000000003E-2</v>
      </c>
      <c r="I1408" s="1">
        <v>0.15</v>
      </c>
      <c r="J1408" s="1">
        <v>2</v>
      </c>
    </row>
    <row r="1409" spans="1:10" x14ac:dyDescent="0.2">
      <c r="A1409" s="1" t="s">
        <v>4808</v>
      </c>
      <c r="B1409" s="1" t="s">
        <v>4807</v>
      </c>
      <c r="C1409" s="1" t="s">
        <v>4806</v>
      </c>
      <c r="D1409" s="2" t="str">
        <f t="shared" si="21"/>
        <v>http://zfin.org/ZDB-GENE-041014-349</v>
      </c>
      <c r="E1409" s="1" t="s">
        <v>4805</v>
      </c>
      <c r="F1409" s="1">
        <v>5.5574384511029497E-3</v>
      </c>
      <c r="G1409" s="1">
        <v>-0.27782278708388097</v>
      </c>
      <c r="H1409" s="1">
        <v>8.9999999999999993E-3</v>
      </c>
      <c r="I1409" s="1">
        <v>0.15</v>
      </c>
      <c r="J1409" s="1">
        <v>2</v>
      </c>
    </row>
    <row r="1410" spans="1:10" x14ac:dyDescent="0.2">
      <c r="A1410" s="1" t="s">
        <v>4804</v>
      </c>
      <c r="B1410" s="1" t="s">
        <v>4803</v>
      </c>
      <c r="C1410" s="1" t="s">
        <v>4802</v>
      </c>
      <c r="D1410" s="2" t="str">
        <f t="shared" ref="D1410:D1473" si="22">HYPERLINK(E1410)</f>
        <v>http://zfin.org/ZDB-GENE-050417-323</v>
      </c>
      <c r="E1410" s="1" t="s">
        <v>4801</v>
      </c>
      <c r="F1410" s="1">
        <v>2.0239183502544899E-3</v>
      </c>
      <c r="G1410" s="1">
        <v>-0.27771526434616101</v>
      </c>
      <c r="H1410" s="1">
        <v>0.14899999999999999</v>
      </c>
      <c r="I1410" s="1">
        <v>0.23300000000000001</v>
      </c>
      <c r="J1410" s="1">
        <v>2</v>
      </c>
    </row>
    <row r="1411" spans="1:10" x14ac:dyDescent="0.2">
      <c r="A1411" s="1" t="s">
        <v>4800</v>
      </c>
      <c r="B1411" s="1" t="s">
        <v>4799</v>
      </c>
      <c r="C1411" s="1" t="s">
        <v>4798</v>
      </c>
      <c r="D1411" s="2" t="str">
        <f t="shared" si="22"/>
        <v>http://zfin.org/ZDB-GENE-020419-1</v>
      </c>
      <c r="E1411" s="1" t="s">
        <v>4797</v>
      </c>
      <c r="F1411" s="1">
        <v>8.4382895549660797E-4</v>
      </c>
      <c r="G1411" s="1">
        <v>-0.27700830686041</v>
      </c>
      <c r="H1411" s="1">
        <v>0.439</v>
      </c>
      <c r="I1411" s="1">
        <v>0.46700000000000003</v>
      </c>
      <c r="J1411" s="1">
        <v>2</v>
      </c>
    </row>
    <row r="1412" spans="1:10" x14ac:dyDescent="0.2">
      <c r="A1412" s="1" t="s">
        <v>4796</v>
      </c>
      <c r="B1412" s="1" t="s">
        <v>4795</v>
      </c>
      <c r="C1412" s="1" t="s">
        <v>4794</v>
      </c>
      <c r="D1412" s="2" t="str">
        <f t="shared" si="22"/>
        <v>http://zfin.org/ZDB-GENE-030131-740</v>
      </c>
      <c r="E1412" s="1" t="s">
        <v>4793</v>
      </c>
      <c r="F1412" s="1">
        <v>1.3943001906620599E-3</v>
      </c>
      <c r="G1412" s="1">
        <v>-0.27692178748089902</v>
      </c>
      <c r="H1412" s="1">
        <v>7.0000000000000007E-2</v>
      </c>
      <c r="I1412" s="1">
        <v>0.16700000000000001</v>
      </c>
      <c r="J1412" s="1">
        <v>2</v>
      </c>
    </row>
    <row r="1413" spans="1:10" x14ac:dyDescent="0.2">
      <c r="A1413" s="1" t="s">
        <v>4792</v>
      </c>
      <c r="B1413" s="1" t="s">
        <v>4791</v>
      </c>
      <c r="C1413" s="1" t="s">
        <v>4790</v>
      </c>
      <c r="D1413" s="2" t="str">
        <f t="shared" si="22"/>
        <v>http://zfin.org/ZDB-GENE-040718-430</v>
      </c>
      <c r="E1413" s="1" t="s">
        <v>4789</v>
      </c>
      <c r="F1413" s="1">
        <v>1.20456650910616E-2</v>
      </c>
      <c r="G1413" s="1">
        <v>-0.27692094709494303</v>
      </c>
      <c r="H1413" s="1">
        <v>0.17499999999999999</v>
      </c>
      <c r="I1413" s="1">
        <v>0.4</v>
      </c>
      <c r="J1413" s="1">
        <v>2</v>
      </c>
    </row>
    <row r="1414" spans="1:10" x14ac:dyDescent="0.2">
      <c r="A1414" s="1" t="s">
        <v>4188</v>
      </c>
      <c r="B1414" s="1" t="s">
        <v>4187</v>
      </c>
      <c r="C1414" s="1" t="s">
        <v>4186</v>
      </c>
      <c r="D1414" s="2" t="str">
        <f t="shared" si="22"/>
        <v>http://zfin.org/ZDB-GENE-040704-17</v>
      </c>
      <c r="E1414" s="1" t="s">
        <v>4788</v>
      </c>
      <c r="F1414" s="1">
        <v>1.0453551740367099E-3</v>
      </c>
      <c r="G1414" s="1">
        <v>-0.27688763906054698</v>
      </c>
      <c r="H1414" s="1">
        <v>0.123</v>
      </c>
      <c r="I1414" s="1">
        <v>0.183</v>
      </c>
      <c r="J1414" s="1">
        <v>2</v>
      </c>
    </row>
    <row r="1415" spans="1:10" x14ac:dyDescent="0.2">
      <c r="A1415" s="1" t="s">
        <v>4787</v>
      </c>
      <c r="B1415" s="1" t="s">
        <v>4786</v>
      </c>
      <c r="C1415" s="1" t="s">
        <v>4785</v>
      </c>
      <c r="D1415" s="2" t="str">
        <f t="shared" si="22"/>
        <v>http://zfin.org/ZDB-GENE-030131-4189</v>
      </c>
      <c r="E1415" s="1" t="s">
        <v>4784</v>
      </c>
      <c r="F1415" s="1">
        <v>2.3989911316670502E-2</v>
      </c>
      <c r="G1415" s="1">
        <v>-0.27682890293386198</v>
      </c>
      <c r="H1415" s="1">
        <v>0.17499999999999999</v>
      </c>
      <c r="I1415" s="1">
        <v>0.317</v>
      </c>
      <c r="J1415" s="1">
        <v>2</v>
      </c>
    </row>
    <row r="1416" spans="1:10" x14ac:dyDescent="0.2">
      <c r="A1416" s="1" t="s">
        <v>4783</v>
      </c>
      <c r="B1416" s="1" t="s">
        <v>4782</v>
      </c>
      <c r="C1416" s="1" t="s">
        <v>4781</v>
      </c>
      <c r="D1416" s="2" t="str">
        <f t="shared" si="22"/>
        <v>http://zfin.org/ZDB-GENE-040724-90</v>
      </c>
      <c r="E1416" s="1" t="s">
        <v>4780</v>
      </c>
      <c r="F1416" s="3">
        <v>7.2313762541825795E-5</v>
      </c>
      <c r="G1416" s="1">
        <v>-0.27610163048567199</v>
      </c>
      <c r="H1416" s="1">
        <v>0.43</v>
      </c>
      <c r="I1416" s="1">
        <v>0.433</v>
      </c>
      <c r="J1416" s="1">
        <v>2</v>
      </c>
    </row>
    <row r="1417" spans="1:10" x14ac:dyDescent="0.2">
      <c r="A1417" s="1" t="s">
        <v>4146</v>
      </c>
      <c r="B1417" s="1" t="s">
        <v>4145</v>
      </c>
      <c r="C1417" s="1" t="s">
        <v>4144</v>
      </c>
      <c r="D1417" s="2" t="str">
        <f t="shared" si="22"/>
        <v>http://zfin.org/ZDB-GENE-031118-120</v>
      </c>
      <c r="E1417" s="1" t="s">
        <v>4779</v>
      </c>
      <c r="F1417" s="1">
        <v>3.4398012642674898E-2</v>
      </c>
      <c r="G1417" s="1">
        <v>-0.27608504856489902</v>
      </c>
      <c r="H1417" s="1">
        <v>0.36799999999999999</v>
      </c>
      <c r="I1417" s="1">
        <v>0.46700000000000003</v>
      </c>
      <c r="J1417" s="1">
        <v>2</v>
      </c>
    </row>
    <row r="1418" spans="1:10" x14ac:dyDescent="0.2">
      <c r="A1418" s="1" t="s">
        <v>4778</v>
      </c>
      <c r="B1418" s="1" t="s">
        <v>4777</v>
      </c>
      <c r="C1418" s="1" t="s">
        <v>4776</v>
      </c>
      <c r="D1418" s="2" t="str">
        <f t="shared" si="22"/>
        <v>http://zfin.org/ZDB-GENE-050417-156</v>
      </c>
      <c r="E1418" s="1" t="s">
        <v>4775</v>
      </c>
      <c r="F1418" s="1">
        <v>3.75826748029406E-4</v>
      </c>
      <c r="G1418" s="1">
        <v>-0.27608327275581401</v>
      </c>
      <c r="H1418" s="1">
        <v>0.158</v>
      </c>
      <c r="I1418" s="1">
        <v>0.217</v>
      </c>
      <c r="J1418" s="1">
        <v>2</v>
      </c>
    </row>
    <row r="1419" spans="1:10" x14ac:dyDescent="0.2">
      <c r="A1419" s="1" t="s">
        <v>4774</v>
      </c>
      <c r="B1419" s="1" t="s">
        <v>4773</v>
      </c>
      <c r="C1419" s="1" t="s">
        <v>4772</v>
      </c>
      <c r="D1419" s="2" t="str">
        <f t="shared" si="22"/>
        <v>http://zfin.org/ZDB-GENE-030131-2341</v>
      </c>
      <c r="E1419" s="1" t="s">
        <v>4771</v>
      </c>
      <c r="F1419" s="1">
        <v>2.1075733485894999E-3</v>
      </c>
      <c r="G1419" s="1">
        <v>-0.27590387110252101</v>
      </c>
      <c r="H1419" s="1">
        <v>2.5999999999999999E-2</v>
      </c>
      <c r="I1419" s="1">
        <v>0.15</v>
      </c>
      <c r="J1419" s="1">
        <v>2</v>
      </c>
    </row>
    <row r="1420" spans="1:10" x14ac:dyDescent="0.2">
      <c r="A1420" s="1" t="s">
        <v>4770</v>
      </c>
      <c r="B1420" s="1" t="s">
        <v>4769</v>
      </c>
      <c r="C1420" s="1" t="s">
        <v>4768</v>
      </c>
      <c r="D1420" s="2" t="str">
        <f t="shared" si="22"/>
        <v>http://zfin.org/ZDB-GENE-030425-4</v>
      </c>
      <c r="E1420" s="1" t="s">
        <v>4767</v>
      </c>
      <c r="F1420" s="3">
        <v>4.0106587475023698E-5</v>
      </c>
      <c r="G1420" s="1">
        <v>-0.27585060906081199</v>
      </c>
      <c r="H1420" s="1">
        <v>0.105</v>
      </c>
      <c r="I1420" s="1">
        <v>0.23300000000000001</v>
      </c>
      <c r="J1420" s="1">
        <v>2</v>
      </c>
    </row>
    <row r="1421" spans="1:10" x14ac:dyDescent="0.2">
      <c r="A1421" s="1" t="s">
        <v>4766</v>
      </c>
      <c r="B1421" s="1" t="s">
        <v>4765</v>
      </c>
      <c r="C1421" s="1" t="s">
        <v>4764</v>
      </c>
      <c r="D1421" s="2" t="str">
        <f t="shared" si="22"/>
        <v>http://zfin.org/ZDB-GENE-061103-124</v>
      </c>
      <c r="E1421" s="1" t="s">
        <v>4763</v>
      </c>
      <c r="F1421" s="1">
        <v>1.7391312995799499E-3</v>
      </c>
      <c r="G1421" s="1">
        <v>-0.27584644398626801</v>
      </c>
      <c r="H1421" s="1">
        <v>0.105</v>
      </c>
      <c r="I1421" s="1">
        <v>0.23300000000000001</v>
      </c>
      <c r="J1421" s="1">
        <v>2</v>
      </c>
    </row>
    <row r="1422" spans="1:10" x14ac:dyDescent="0.2">
      <c r="A1422" s="1" t="s">
        <v>4762</v>
      </c>
      <c r="B1422" s="1" t="s">
        <v>4761</v>
      </c>
      <c r="C1422" s="1" t="s">
        <v>4760</v>
      </c>
      <c r="D1422" s="2" t="str">
        <f t="shared" si="22"/>
        <v>http://zfin.org/ZDB-GENE-041014-337</v>
      </c>
      <c r="E1422" s="1" t="s">
        <v>4759</v>
      </c>
      <c r="F1422" s="3">
        <v>1.0287843208332499E-6</v>
      </c>
      <c r="G1422" s="1">
        <v>-0.27584142290712999</v>
      </c>
      <c r="H1422" s="1">
        <v>0.158</v>
      </c>
      <c r="I1422" s="1">
        <v>0.16700000000000001</v>
      </c>
      <c r="J1422" s="1">
        <v>2</v>
      </c>
    </row>
    <row r="1423" spans="1:10" x14ac:dyDescent="0.2">
      <c r="A1423" s="1" t="s">
        <v>4758</v>
      </c>
      <c r="B1423" s="1" t="s">
        <v>4757</v>
      </c>
      <c r="C1423" s="1" t="s">
        <v>4756</v>
      </c>
      <c r="D1423" s="2" t="str">
        <f t="shared" si="22"/>
        <v>http://zfin.org/ZDB-GENE-030131-5829</v>
      </c>
      <c r="E1423" s="1" t="s">
        <v>4755</v>
      </c>
      <c r="F1423" s="1">
        <v>2.6098742375809999E-2</v>
      </c>
      <c r="G1423" s="1">
        <v>-0.275778743986199</v>
      </c>
      <c r="H1423" s="1">
        <v>4.3999999999999997E-2</v>
      </c>
      <c r="I1423" s="1">
        <v>0.13300000000000001</v>
      </c>
      <c r="J1423" s="1">
        <v>2</v>
      </c>
    </row>
    <row r="1424" spans="1:10" x14ac:dyDescent="0.2">
      <c r="A1424" s="1" t="s">
        <v>4754</v>
      </c>
      <c r="B1424" s="1" t="s">
        <v>4753</v>
      </c>
      <c r="C1424" s="1" t="s">
        <v>4752</v>
      </c>
      <c r="D1424" s="2" t="str">
        <f t="shared" si="22"/>
        <v>http://zfin.org/ZDB-GENE-121214-129</v>
      </c>
      <c r="E1424" s="1" t="s">
        <v>4751</v>
      </c>
      <c r="F1424" s="3">
        <v>1.2108816499860501E-5</v>
      </c>
      <c r="G1424" s="1">
        <v>-0.27545009497946699</v>
      </c>
      <c r="H1424" s="1">
        <v>0.26300000000000001</v>
      </c>
      <c r="I1424" s="1">
        <v>0.317</v>
      </c>
      <c r="J1424" s="1">
        <v>2</v>
      </c>
    </row>
    <row r="1425" spans="1:10" x14ac:dyDescent="0.2">
      <c r="A1425" s="1" t="s">
        <v>4750</v>
      </c>
      <c r="B1425" s="1" t="s">
        <v>4749</v>
      </c>
      <c r="C1425" s="1" t="s">
        <v>4748</v>
      </c>
      <c r="D1425" s="2" t="str">
        <f t="shared" si="22"/>
        <v>http://zfin.org/ZDB-GENE-040426-1487</v>
      </c>
      <c r="E1425" s="1" t="s">
        <v>4747</v>
      </c>
      <c r="F1425" s="3">
        <v>3.0893724342312402E-6</v>
      </c>
      <c r="G1425" s="1">
        <v>-0.275043442937768</v>
      </c>
      <c r="H1425" s="1">
        <v>0.41199999999999998</v>
      </c>
      <c r="I1425" s="1">
        <v>0.41699999999999998</v>
      </c>
      <c r="J1425" s="1">
        <v>2</v>
      </c>
    </row>
    <row r="1426" spans="1:10" x14ac:dyDescent="0.2">
      <c r="A1426" s="1" t="s">
        <v>4746</v>
      </c>
      <c r="B1426" s="1" t="s">
        <v>4745</v>
      </c>
      <c r="C1426" s="1" t="s">
        <v>4744</v>
      </c>
      <c r="D1426" s="2" t="str">
        <f t="shared" si="22"/>
        <v>http://zfin.org/ZDB-GENE-030131-4156</v>
      </c>
      <c r="E1426" s="1" t="s">
        <v>4743</v>
      </c>
      <c r="F1426" s="1">
        <v>6.0014542058444602E-4</v>
      </c>
      <c r="G1426" s="1">
        <v>-0.27466250117197399</v>
      </c>
      <c r="H1426" s="1">
        <v>7.0000000000000007E-2</v>
      </c>
      <c r="I1426" s="1">
        <v>0.15</v>
      </c>
      <c r="J1426" s="1">
        <v>2</v>
      </c>
    </row>
    <row r="1427" spans="1:10" x14ac:dyDescent="0.2">
      <c r="A1427" s="1" t="s">
        <v>4742</v>
      </c>
      <c r="B1427" s="1" t="s">
        <v>4741</v>
      </c>
      <c r="C1427" s="1" t="s">
        <v>4740</v>
      </c>
      <c r="D1427" s="2" t="str">
        <f t="shared" si="22"/>
        <v>http://zfin.org/ZDB-GENE-050913-131</v>
      </c>
      <c r="E1427" s="1" t="s">
        <v>4739</v>
      </c>
      <c r="F1427" s="1">
        <v>6.8570423861833898E-3</v>
      </c>
      <c r="G1427" s="1">
        <v>-0.27452981528361398</v>
      </c>
      <c r="H1427" s="1">
        <v>0.14000000000000001</v>
      </c>
      <c r="I1427" s="1">
        <v>0.217</v>
      </c>
      <c r="J1427" s="1">
        <v>2</v>
      </c>
    </row>
    <row r="1428" spans="1:10" x14ac:dyDescent="0.2">
      <c r="A1428" s="1" t="s">
        <v>4738</v>
      </c>
      <c r="B1428" s="1" t="s">
        <v>4737</v>
      </c>
      <c r="C1428" s="1" t="s">
        <v>4736</v>
      </c>
      <c r="D1428" s="2" t="str">
        <f t="shared" si="22"/>
        <v>http://zfin.org/ZDB-GENE-990415-29</v>
      </c>
      <c r="E1428" s="1" t="s">
        <v>4735</v>
      </c>
      <c r="F1428" s="1">
        <v>5.3527641296405998E-4</v>
      </c>
      <c r="G1428" s="1">
        <v>-0.27447748789548998</v>
      </c>
      <c r="H1428" s="1">
        <v>0.72799999999999998</v>
      </c>
      <c r="I1428" s="1">
        <v>0.68300000000000005</v>
      </c>
      <c r="J1428" s="1">
        <v>2</v>
      </c>
    </row>
    <row r="1429" spans="1:10" x14ac:dyDescent="0.2">
      <c r="A1429" s="1" t="s">
        <v>4734</v>
      </c>
      <c r="B1429" s="1" t="s">
        <v>4733</v>
      </c>
      <c r="C1429" s="1" t="s">
        <v>4732</v>
      </c>
      <c r="D1429" s="2" t="str">
        <f t="shared" si="22"/>
        <v>http://zfin.org/ZDB-GENE-080521-1</v>
      </c>
      <c r="E1429" s="1" t="s">
        <v>4731</v>
      </c>
      <c r="F1429" s="1">
        <v>2.0786379990564999E-2</v>
      </c>
      <c r="G1429" s="1">
        <v>-0.27438436235292901</v>
      </c>
      <c r="H1429" s="1">
        <v>0.23699999999999999</v>
      </c>
      <c r="I1429" s="1">
        <v>0.36699999999999999</v>
      </c>
      <c r="J1429" s="1">
        <v>2</v>
      </c>
    </row>
    <row r="1430" spans="1:10" x14ac:dyDescent="0.2">
      <c r="A1430" s="1" t="s">
        <v>2194</v>
      </c>
      <c r="B1430" s="1" t="s">
        <v>2193</v>
      </c>
      <c r="C1430" s="1" t="s">
        <v>2192</v>
      </c>
      <c r="D1430" s="2" t="str">
        <f t="shared" si="22"/>
        <v>http://zfin.org/ZDB-GENE-040426-977</v>
      </c>
      <c r="E1430" s="1" t="s">
        <v>4730</v>
      </c>
      <c r="F1430" s="1">
        <v>2.2709934118878999E-3</v>
      </c>
      <c r="G1430" s="1">
        <v>-0.27421854150846098</v>
      </c>
      <c r="H1430" s="1">
        <v>0.158</v>
      </c>
      <c r="I1430" s="1">
        <v>0.25</v>
      </c>
      <c r="J1430" s="1">
        <v>2</v>
      </c>
    </row>
    <row r="1431" spans="1:10" x14ac:dyDescent="0.2">
      <c r="A1431" s="1" t="s">
        <v>4729</v>
      </c>
      <c r="B1431" s="1" t="s">
        <v>4728</v>
      </c>
      <c r="C1431" s="1" t="s">
        <v>4727</v>
      </c>
      <c r="D1431" s="2" t="str">
        <f t="shared" si="22"/>
        <v>http://zfin.org/ZDB-GENE-040426-2160</v>
      </c>
      <c r="E1431" s="1" t="s">
        <v>4726</v>
      </c>
      <c r="F1431" s="3">
        <v>6.4412311503483401E-5</v>
      </c>
      <c r="G1431" s="1">
        <v>-0.27397679908035899</v>
      </c>
      <c r="H1431" s="1">
        <v>0.86</v>
      </c>
      <c r="I1431" s="1">
        <v>0.78300000000000003</v>
      </c>
      <c r="J1431" s="1">
        <v>2</v>
      </c>
    </row>
    <row r="1432" spans="1:10" x14ac:dyDescent="0.2">
      <c r="A1432" s="1" t="s">
        <v>1892</v>
      </c>
      <c r="B1432" s="1" t="s">
        <v>1891</v>
      </c>
      <c r="C1432" s="1" t="s">
        <v>1890</v>
      </c>
      <c r="D1432" s="2" t="str">
        <f t="shared" si="22"/>
        <v>http://zfin.org/ZDB-GENE-030131-6223</v>
      </c>
      <c r="E1432" s="1" t="s">
        <v>4725</v>
      </c>
      <c r="F1432" s="3">
        <v>2.5629347662348002E-5</v>
      </c>
      <c r="G1432" s="1">
        <v>-0.273798846715188</v>
      </c>
      <c r="H1432" s="1">
        <v>7.9000000000000001E-2</v>
      </c>
      <c r="I1432" s="1">
        <v>0.11700000000000001</v>
      </c>
      <c r="J1432" s="1">
        <v>2</v>
      </c>
    </row>
    <row r="1433" spans="1:10" x14ac:dyDescent="0.2">
      <c r="A1433" s="1" t="s">
        <v>4724</v>
      </c>
      <c r="B1433" s="1" t="s">
        <v>4723</v>
      </c>
      <c r="C1433" s="1" t="s">
        <v>4722</v>
      </c>
      <c r="D1433" s="2" t="str">
        <f t="shared" si="22"/>
        <v>http://zfin.org/ZDB-GENE-040426-1958</v>
      </c>
      <c r="E1433" s="1" t="s">
        <v>4721</v>
      </c>
      <c r="F1433" s="3">
        <v>2.2376335116538701E-6</v>
      </c>
      <c r="G1433" s="1">
        <v>-0.27377178393774099</v>
      </c>
      <c r="H1433" s="1">
        <v>0.246</v>
      </c>
      <c r="I1433" s="1">
        <v>0.28299999999999997</v>
      </c>
      <c r="J1433" s="1">
        <v>2</v>
      </c>
    </row>
    <row r="1434" spans="1:10" x14ac:dyDescent="0.2">
      <c r="A1434" s="1" t="s">
        <v>4720</v>
      </c>
      <c r="B1434" s="1" t="s">
        <v>4719</v>
      </c>
      <c r="C1434" s="1" t="s">
        <v>4718</v>
      </c>
      <c r="D1434" s="2" t="str">
        <f t="shared" si="22"/>
        <v>http://zfin.org/ZDB-GENE-050913-36</v>
      </c>
      <c r="E1434" s="1" t="s">
        <v>4717</v>
      </c>
      <c r="F1434" s="1">
        <v>1.49816440406054E-3</v>
      </c>
      <c r="G1434" s="1">
        <v>-0.273208852441435</v>
      </c>
      <c r="H1434" s="1">
        <v>0.14899999999999999</v>
      </c>
      <c r="I1434" s="1">
        <v>0.183</v>
      </c>
      <c r="J1434" s="1">
        <v>2</v>
      </c>
    </row>
    <row r="1435" spans="1:10" x14ac:dyDescent="0.2">
      <c r="A1435" s="1" t="s">
        <v>3478</v>
      </c>
      <c r="B1435" s="1" t="s">
        <v>3477</v>
      </c>
      <c r="C1435" s="1" t="s">
        <v>3476</v>
      </c>
      <c r="D1435" s="2" t="str">
        <f t="shared" si="22"/>
        <v>http://zfin.org/ZDB-GENE-980526-527</v>
      </c>
      <c r="E1435" s="1" t="s">
        <v>4716</v>
      </c>
      <c r="F1435" s="1">
        <v>2.1223510075731498E-2</v>
      </c>
      <c r="G1435" s="1">
        <v>-0.272785104034654</v>
      </c>
      <c r="H1435" s="1">
        <v>0.13200000000000001</v>
      </c>
      <c r="I1435" s="1">
        <v>0.16700000000000001</v>
      </c>
      <c r="J1435" s="1">
        <v>2</v>
      </c>
    </row>
    <row r="1436" spans="1:10" x14ac:dyDescent="0.2">
      <c r="A1436" s="1" t="s">
        <v>4715</v>
      </c>
      <c r="B1436" s="1" t="s">
        <v>4714</v>
      </c>
      <c r="C1436" s="1" t="s">
        <v>4713</v>
      </c>
      <c r="D1436" s="2" t="str">
        <f t="shared" si="22"/>
        <v>http://zfin.org/ZDB-GENE-100921-13</v>
      </c>
      <c r="E1436" s="1" t="s">
        <v>4712</v>
      </c>
      <c r="F1436" s="1">
        <v>8.5323908204980705E-4</v>
      </c>
      <c r="G1436" s="1">
        <v>-0.27271303692234999</v>
      </c>
      <c r="H1436" s="1">
        <v>6.0999999999999999E-2</v>
      </c>
      <c r="I1436" s="1">
        <v>0.11700000000000001</v>
      </c>
      <c r="J1436" s="1">
        <v>2</v>
      </c>
    </row>
    <row r="1437" spans="1:10" x14ac:dyDescent="0.2">
      <c r="A1437" s="1" t="s">
        <v>4711</v>
      </c>
      <c r="B1437" s="1" t="s">
        <v>4710</v>
      </c>
      <c r="C1437" s="1" t="s">
        <v>4709</v>
      </c>
      <c r="D1437" s="2" t="str">
        <f t="shared" si="22"/>
        <v>http://zfin.org/ZDB-GENE-080520-1</v>
      </c>
      <c r="E1437" s="1" t="s">
        <v>4708</v>
      </c>
      <c r="F1437" s="1">
        <v>7.5849071220719004E-4</v>
      </c>
      <c r="G1437" s="1">
        <v>-0.27175928827569401</v>
      </c>
      <c r="H1437" s="1">
        <v>0.193</v>
      </c>
      <c r="I1437" s="1">
        <v>0.2</v>
      </c>
      <c r="J1437" s="1">
        <v>2</v>
      </c>
    </row>
    <row r="1438" spans="1:10" x14ac:dyDescent="0.2">
      <c r="A1438" s="1" t="s">
        <v>3111</v>
      </c>
      <c r="B1438" s="1" t="s">
        <v>4707</v>
      </c>
      <c r="D1438" s="2" t="str">
        <f t="shared" si="22"/>
        <v>http://zfin.org/</v>
      </c>
      <c r="E1438" s="1" t="s">
        <v>4625</v>
      </c>
      <c r="F1438" s="1">
        <v>0.69442068286622605</v>
      </c>
      <c r="G1438" s="1">
        <v>-0.271320130292868</v>
      </c>
      <c r="H1438" s="1">
        <v>0.105</v>
      </c>
      <c r="I1438" s="1">
        <v>0.16700000000000001</v>
      </c>
      <c r="J1438" s="1">
        <v>2</v>
      </c>
    </row>
    <row r="1439" spans="1:10" x14ac:dyDescent="0.2">
      <c r="A1439" s="1" t="s">
        <v>4706</v>
      </c>
      <c r="B1439" s="1" t="s">
        <v>4705</v>
      </c>
      <c r="C1439" s="1" t="s">
        <v>4704</v>
      </c>
      <c r="D1439" s="2" t="str">
        <f t="shared" si="22"/>
        <v>http://zfin.org/ZDB-GENE-030131-5726</v>
      </c>
      <c r="E1439" s="1" t="s">
        <v>4703</v>
      </c>
      <c r="F1439" s="1">
        <v>2.1534657033347999E-3</v>
      </c>
      <c r="G1439" s="1">
        <v>-0.27130834389959202</v>
      </c>
      <c r="H1439" s="1">
        <v>0.48199999999999998</v>
      </c>
      <c r="I1439" s="1">
        <v>0.53300000000000003</v>
      </c>
      <c r="J1439" s="1">
        <v>2</v>
      </c>
    </row>
    <row r="1440" spans="1:10" x14ac:dyDescent="0.2">
      <c r="A1440" s="1" t="s">
        <v>4702</v>
      </c>
      <c r="B1440" s="1" t="s">
        <v>4701</v>
      </c>
      <c r="C1440" s="1" t="s">
        <v>4700</v>
      </c>
      <c r="D1440" s="2" t="str">
        <f t="shared" si="22"/>
        <v>http://zfin.org/ZDB-GENE-001103-5</v>
      </c>
      <c r="E1440" s="1" t="s">
        <v>4699</v>
      </c>
      <c r="F1440" s="1">
        <v>1.1758014144965601E-4</v>
      </c>
      <c r="G1440" s="1">
        <v>-0.27118965470204798</v>
      </c>
      <c r="H1440" s="1">
        <v>0.63200000000000001</v>
      </c>
      <c r="I1440" s="1">
        <v>0.6</v>
      </c>
      <c r="J1440" s="1">
        <v>2</v>
      </c>
    </row>
    <row r="1441" spans="1:10" x14ac:dyDescent="0.2">
      <c r="A1441" s="1" t="s">
        <v>3237</v>
      </c>
      <c r="B1441" s="1" t="s">
        <v>3236</v>
      </c>
      <c r="C1441" s="1" t="s">
        <v>3235</v>
      </c>
      <c r="D1441" s="2" t="str">
        <f t="shared" si="22"/>
        <v>http://zfin.org/ZDB-GENE-041212-79</v>
      </c>
      <c r="E1441" s="1" t="s">
        <v>4698</v>
      </c>
      <c r="F1441" s="1">
        <v>1.6409485011352801E-4</v>
      </c>
      <c r="G1441" s="1">
        <v>-0.27079429179702302</v>
      </c>
      <c r="H1441" s="1">
        <v>9.6000000000000002E-2</v>
      </c>
      <c r="I1441" s="1">
        <v>0.13300000000000001</v>
      </c>
      <c r="J1441" s="1">
        <v>2</v>
      </c>
    </row>
    <row r="1442" spans="1:10" x14ac:dyDescent="0.2">
      <c r="A1442" s="1" t="s">
        <v>3812</v>
      </c>
      <c r="B1442" s="1" t="s">
        <v>3811</v>
      </c>
      <c r="C1442" s="1" t="s">
        <v>3810</v>
      </c>
      <c r="D1442" s="2" t="str">
        <f t="shared" si="22"/>
        <v>http://zfin.org/ZDB-GENE-030131-6778</v>
      </c>
      <c r="E1442" s="1" t="s">
        <v>4697</v>
      </c>
      <c r="F1442" s="1">
        <v>5.14255289564845E-4</v>
      </c>
      <c r="G1442" s="1">
        <v>-0.27035427348576502</v>
      </c>
      <c r="H1442" s="1">
        <v>0.28100000000000003</v>
      </c>
      <c r="I1442" s="1">
        <v>0.38300000000000001</v>
      </c>
      <c r="J1442" s="1">
        <v>2</v>
      </c>
    </row>
    <row r="1443" spans="1:10" x14ac:dyDescent="0.2">
      <c r="A1443" s="1" t="s">
        <v>4696</v>
      </c>
      <c r="B1443" s="1" t="s">
        <v>4695</v>
      </c>
      <c r="C1443" s="1" t="s">
        <v>4694</v>
      </c>
      <c r="D1443" s="2" t="str">
        <f t="shared" si="22"/>
        <v>http://zfin.org/ZDB-GENE-060503-530</v>
      </c>
      <c r="E1443" s="1" t="s">
        <v>4693</v>
      </c>
      <c r="F1443" s="1">
        <v>4.6594805056849502E-4</v>
      </c>
      <c r="G1443" s="1">
        <v>-0.27021949475662099</v>
      </c>
      <c r="H1443" s="1">
        <v>7.0000000000000007E-2</v>
      </c>
      <c r="I1443" s="1">
        <v>0.15</v>
      </c>
      <c r="J1443" s="1">
        <v>2</v>
      </c>
    </row>
    <row r="1444" spans="1:10" x14ac:dyDescent="0.2">
      <c r="A1444" s="1" t="s">
        <v>4692</v>
      </c>
      <c r="B1444" s="1" t="s">
        <v>4691</v>
      </c>
      <c r="C1444" s="1" t="s">
        <v>4690</v>
      </c>
      <c r="D1444" s="2" t="str">
        <f t="shared" si="22"/>
        <v>http://zfin.org/ZDB-GENE-990415-65</v>
      </c>
      <c r="E1444" s="1" t="s">
        <v>4689</v>
      </c>
      <c r="F1444" s="1">
        <v>1.6441892658033998E-2</v>
      </c>
      <c r="G1444" s="1">
        <v>-0.27011329090829</v>
      </c>
      <c r="H1444" s="1">
        <v>0.158</v>
      </c>
      <c r="I1444" s="1">
        <v>0.26700000000000002</v>
      </c>
      <c r="J1444" s="1">
        <v>2</v>
      </c>
    </row>
    <row r="1445" spans="1:10" x14ac:dyDescent="0.2">
      <c r="A1445" s="1" t="s">
        <v>3141</v>
      </c>
      <c r="B1445" s="1" t="s">
        <v>3140</v>
      </c>
      <c r="C1445" s="1" t="s">
        <v>3139</v>
      </c>
      <c r="D1445" s="2" t="str">
        <f t="shared" si="22"/>
        <v>http://zfin.org/ZDB-GENE-040122-3</v>
      </c>
      <c r="E1445" s="1" t="s">
        <v>4688</v>
      </c>
      <c r="F1445" s="3">
        <v>3.9246648809461904E-6</v>
      </c>
      <c r="G1445" s="1">
        <v>-0.269988916917138</v>
      </c>
      <c r="H1445" s="1">
        <v>0.36</v>
      </c>
      <c r="I1445" s="1">
        <v>0.35</v>
      </c>
      <c r="J1445" s="1">
        <v>2</v>
      </c>
    </row>
    <row r="1446" spans="1:10" x14ac:dyDescent="0.2">
      <c r="A1446" s="1" t="s">
        <v>4687</v>
      </c>
      <c r="B1446" s="1" t="s">
        <v>4686</v>
      </c>
      <c r="C1446" s="1" t="s">
        <v>4685</v>
      </c>
      <c r="D1446" s="2" t="str">
        <f t="shared" si="22"/>
        <v>http://zfin.org/ZDB-GENE-030131-2196</v>
      </c>
      <c r="E1446" s="1" t="s">
        <v>4684</v>
      </c>
      <c r="F1446" s="3">
        <v>3.1200984254630597E-5</v>
      </c>
      <c r="G1446" s="1">
        <v>-0.26969207521792499</v>
      </c>
      <c r="H1446" s="1">
        <v>0.14000000000000001</v>
      </c>
      <c r="I1446" s="1">
        <v>0.2</v>
      </c>
      <c r="J1446" s="1">
        <v>2</v>
      </c>
    </row>
    <row r="1447" spans="1:10" x14ac:dyDescent="0.2">
      <c r="A1447" s="1" t="s">
        <v>4683</v>
      </c>
      <c r="B1447" s="1" t="s">
        <v>4682</v>
      </c>
      <c r="C1447" s="1" t="s">
        <v>4681</v>
      </c>
      <c r="D1447" s="2" t="str">
        <f t="shared" si="22"/>
        <v>http://zfin.org/ZDB-GENE-030131-3104</v>
      </c>
      <c r="E1447" s="1" t="s">
        <v>4680</v>
      </c>
      <c r="F1447" s="1">
        <v>5.86791713415035E-3</v>
      </c>
      <c r="G1447" s="1">
        <v>-0.26958513800879902</v>
      </c>
      <c r="H1447" s="1">
        <v>1.7999999999999999E-2</v>
      </c>
      <c r="I1447" s="1">
        <v>0.15</v>
      </c>
      <c r="J1447" s="1">
        <v>2</v>
      </c>
    </row>
    <row r="1448" spans="1:10" x14ac:dyDescent="0.2">
      <c r="A1448" s="1" t="s">
        <v>4679</v>
      </c>
      <c r="B1448" s="1" t="s">
        <v>4678</v>
      </c>
      <c r="C1448" s="1" t="s">
        <v>4677</v>
      </c>
      <c r="D1448" s="2" t="str">
        <f t="shared" si="22"/>
        <v>http://zfin.org/ZDB-GENE-030131-667</v>
      </c>
      <c r="E1448" s="1" t="s">
        <v>4676</v>
      </c>
      <c r="F1448" s="1">
        <v>7.0948856396100502E-3</v>
      </c>
      <c r="G1448" s="1">
        <v>-0.26952945098390402</v>
      </c>
      <c r="H1448" s="1">
        <v>0.158</v>
      </c>
      <c r="I1448" s="1">
        <v>0.23300000000000001</v>
      </c>
      <c r="J1448" s="1">
        <v>2</v>
      </c>
    </row>
    <row r="1449" spans="1:10" x14ac:dyDescent="0.2">
      <c r="A1449" s="1" t="s">
        <v>394</v>
      </c>
      <c r="B1449" s="1" t="s">
        <v>393</v>
      </c>
      <c r="C1449" s="1" t="s">
        <v>392</v>
      </c>
      <c r="D1449" s="2" t="str">
        <f t="shared" si="22"/>
        <v>http://zfin.org/ZDB-GENE-050320-136</v>
      </c>
      <c r="E1449" s="1" t="s">
        <v>4675</v>
      </c>
      <c r="F1449" s="3">
        <v>7.6200079525415003E-5</v>
      </c>
      <c r="G1449" s="1">
        <v>-0.26946671486701801</v>
      </c>
      <c r="H1449" s="1">
        <v>0.67500000000000004</v>
      </c>
      <c r="I1449" s="1">
        <v>0.58299999999999996</v>
      </c>
      <c r="J1449" s="1">
        <v>2</v>
      </c>
    </row>
    <row r="1450" spans="1:10" x14ac:dyDescent="0.2">
      <c r="A1450" s="1" t="s">
        <v>4674</v>
      </c>
      <c r="B1450" s="1" t="s">
        <v>4673</v>
      </c>
      <c r="C1450" s="1" t="s">
        <v>4672</v>
      </c>
      <c r="D1450" s="2" t="str">
        <f t="shared" si="22"/>
        <v>http://zfin.org/ZDB-GENE-030131-866</v>
      </c>
      <c r="E1450" s="1" t="s">
        <v>4671</v>
      </c>
      <c r="F1450" s="1">
        <v>4.8770437834265198E-2</v>
      </c>
      <c r="G1450" s="1">
        <v>-0.26915376787592499</v>
      </c>
      <c r="H1450" s="1">
        <v>6.0999999999999999E-2</v>
      </c>
      <c r="I1450" s="1">
        <v>0.15</v>
      </c>
      <c r="J1450" s="1">
        <v>2</v>
      </c>
    </row>
    <row r="1451" spans="1:10" x14ac:dyDescent="0.2">
      <c r="A1451" s="1" t="s">
        <v>59</v>
      </c>
      <c r="B1451" s="1" t="s">
        <v>58</v>
      </c>
      <c r="C1451" s="1" t="s">
        <v>60</v>
      </c>
      <c r="D1451" s="2" t="str">
        <f t="shared" si="22"/>
        <v>http://zfin.org/ZDB-GENE-040426-2768</v>
      </c>
      <c r="E1451" s="1" t="s">
        <v>4670</v>
      </c>
      <c r="F1451" s="1">
        <v>1.12941531549924E-2</v>
      </c>
      <c r="G1451" s="1">
        <v>-0.26901738930233199</v>
      </c>
      <c r="H1451" s="1">
        <v>0.49099999999999999</v>
      </c>
      <c r="I1451" s="1">
        <v>0.56699999999999995</v>
      </c>
      <c r="J1451" s="1">
        <v>2</v>
      </c>
    </row>
    <row r="1452" spans="1:10" x14ac:dyDescent="0.2">
      <c r="A1452" s="1" t="s">
        <v>4669</v>
      </c>
      <c r="B1452" s="1" t="s">
        <v>4668</v>
      </c>
      <c r="C1452" s="1" t="s">
        <v>4667</v>
      </c>
      <c r="D1452" s="2" t="str">
        <f t="shared" si="22"/>
        <v>http://zfin.org/ZDB-GENE-040426-1850</v>
      </c>
      <c r="E1452" s="1" t="s">
        <v>4666</v>
      </c>
      <c r="F1452" s="3">
        <v>9.6078279755616097E-8</v>
      </c>
      <c r="G1452" s="1">
        <v>-0.26867161015939101</v>
      </c>
      <c r="H1452" s="1">
        <v>0.158</v>
      </c>
      <c r="I1452" s="1">
        <v>0.2</v>
      </c>
      <c r="J1452" s="1">
        <v>2</v>
      </c>
    </row>
    <row r="1453" spans="1:10" x14ac:dyDescent="0.2">
      <c r="A1453" s="1" t="s">
        <v>4665</v>
      </c>
      <c r="B1453" s="1" t="s">
        <v>4664</v>
      </c>
      <c r="C1453" s="1" t="s">
        <v>4663</v>
      </c>
      <c r="D1453" s="2" t="str">
        <f t="shared" si="22"/>
        <v>http://zfin.org/ZDB-GENE-010724-3</v>
      </c>
      <c r="E1453" s="1" t="s">
        <v>4662</v>
      </c>
      <c r="F1453" s="1">
        <v>3.41198135693107E-4</v>
      </c>
      <c r="G1453" s="1">
        <v>-0.26856095890529602</v>
      </c>
      <c r="H1453" s="1">
        <v>4.3999999999999997E-2</v>
      </c>
      <c r="I1453" s="1">
        <v>0.11700000000000001</v>
      </c>
      <c r="J1453" s="1">
        <v>2</v>
      </c>
    </row>
    <row r="1454" spans="1:10" x14ac:dyDescent="0.2">
      <c r="A1454" s="1" t="s">
        <v>4661</v>
      </c>
      <c r="B1454" s="1" t="s">
        <v>4660</v>
      </c>
      <c r="C1454" s="1" t="s">
        <v>4659</v>
      </c>
      <c r="D1454" s="2" t="str">
        <f t="shared" si="22"/>
        <v>http://zfin.org/ZDB-GENE-040912-72</v>
      </c>
      <c r="E1454" s="1" t="s">
        <v>4658</v>
      </c>
      <c r="F1454" s="1">
        <v>9.1908903003338105E-4</v>
      </c>
      <c r="G1454" s="1">
        <v>-0.26855934131367099</v>
      </c>
      <c r="H1454" s="1">
        <v>0.219</v>
      </c>
      <c r="I1454" s="1">
        <v>0.35</v>
      </c>
      <c r="J1454" s="1">
        <v>2</v>
      </c>
    </row>
    <row r="1455" spans="1:10" x14ac:dyDescent="0.2">
      <c r="A1455" s="1" t="s">
        <v>4657</v>
      </c>
      <c r="B1455" s="1" t="s">
        <v>4656</v>
      </c>
      <c r="C1455" s="1" t="s">
        <v>4655</v>
      </c>
      <c r="D1455" s="2" t="str">
        <f t="shared" si="22"/>
        <v>http://zfin.org/ZDB-GENE-030131-4922</v>
      </c>
      <c r="E1455" s="1" t="s">
        <v>4654</v>
      </c>
      <c r="F1455" s="1">
        <v>1.5252393155655401E-4</v>
      </c>
      <c r="G1455" s="1">
        <v>-0.26823931961619302</v>
      </c>
      <c r="H1455" s="1">
        <v>3.5000000000000003E-2</v>
      </c>
      <c r="I1455" s="1">
        <v>0.183</v>
      </c>
      <c r="J1455" s="1">
        <v>2</v>
      </c>
    </row>
    <row r="1456" spans="1:10" x14ac:dyDescent="0.2">
      <c r="A1456" s="1" t="s">
        <v>3330</v>
      </c>
      <c r="B1456" s="1" t="s">
        <v>3329</v>
      </c>
      <c r="C1456" s="1" t="s">
        <v>3328</v>
      </c>
      <c r="D1456" s="2" t="str">
        <f t="shared" si="22"/>
        <v>http://zfin.org/ZDB-GENE-050913-49</v>
      </c>
      <c r="E1456" s="1" t="s">
        <v>4653</v>
      </c>
      <c r="F1456" s="1">
        <v>2.5017703604868001E-3</v>
      </c>
      <c r="G1456" s="1">
        <v>-0.26795199602764402</v>
      </c>
      <c r="H1456" s="1">
        <v>6.0999999999999999E-2</v>
      </c>
      <c r="I1456" s="1">
        <v>0.217</v>
      </c>
      <c r="J1456" s="1">
        <v>2</v>
      </c>
    </row>
    <row r="1457" spans="1:10" x14ac:dyDescent="0.2">
      <c r="A1457" s="1" t="s">
        <v>4652</v>
      </c>
      <c r="B1457" s="1" t="s">
        <v>4651</v>
      </c>
      <c r="C1457" s="1" t="s">
        <v>4650</v>
      </c>
      <c r="D1457" s="2" t="str">
        <f t="shared" si="22"/>
        <v>http://zfin.org/ZDB-GENE-040426-886</v>
      </c>
      <c r="E1457" s="1" t="s">
        <v>4649</v>
      </c>
      <c r="F1457" s="3">
        <v>5.6179594667746599E-8</v>
      </c>
      <c r="G1457" s="1">
        <v>-0.26749421099585102</v>
      </c>
      <c r="H1457" s="1">
        <v>0.17499999999999999</v>
      </c>
      <c r="I1457" s="1">
        <v>0.25</v>
      </c>
      <c r="J1457" s="1">
        <v>2</v>
      </c>
    </row>
    <row r="1458" spans="1:10" x14ac:dyDescent="0.2">
      <c r="A1458" s="1" t="s">
        <v>4648</v>
      </c>
      <c r="B1458" s="1" t="s">
        <v>4647</v>
      </c>
      <c r="C1458" s="1" t="s">
        <v>4646</v>
      </c>
      <c r="D1458" s="2" t="str">
        <f t="shared" si="22"/>
        <v>http://zfin.org/ZDB-GENE-030131-5611</v>
      </c>
      <c r="E1458" s="1" t="s">
        <v>4645</v>
      </c>
      <c r="F1458" s="1">
        <v>1.27301829928545E-3</v>
      </c>
      <c r="G1458" s="1">
        <v>-0.26727459548987398</v>
      </c>
      <c r="H1458" s="1">
        <v>4.3999999999999997E-2</v>
      </c>
      <c r="I1458" s="1">
        <v>0.16700000000000001</v>
      </c>
      <c r="J1458" s="1">
        <v>2</v>
      </c>
    </row>
    <row r="1459" spans="1:10" x14ac:dyDescent="0.2">
      <c r="A1459" s="1" t="s">
        <v>1985</v>
      </c>
      <c r="B1459" s="1" t="s">
        <v>1984</v>
      </c>
      <c r="C1459" s="1" t="s">
        <v>1983</v>
      </c>
      <c r="D1459" s="2" t="str">
        <f t="shared" si="22"/>
        <v>http://zfin.org/ZDB-GENE-010413-1</v>
      </c>
      <c r="E1459" s="1" t="s">
        <v>4644</v>
      </c>
      <c r="F1459" s="1">
        <v>7.83240333848961E-4</v>
      </c>
      <c r="G1459" s="1">
        <v>-0.26715037627499</v>
      </c>
      <c r="H1459" s="1">
        <v>0.39500000000000002</v>
      </c>
      <c r="I1459" s="1">
        <v>0.46700000000000003</v>
      </c>
      <c r="J1459" s="1">
        <v>2</v>
      </c>
    </row>
    <row r="1460" spans="1:10" x14ac:dyDescent="0.2">
      <c r="A1460" s="1" t="s">
        <v>4643</v>
      </c>
      <c r="B1460" s="1" t="s">
        <v>4642</v>
      </c>
      <c r="C1460" s="1" t="s">
        <v>4641</v>
      </c>
      <c r="D1460" s="2" t="str">
        <f t="shared" si="22"/>
        <v>http://zfin.org/ZDB-GENE-040927-13</v>
      </c>
      <c r="E1460" s="1" t="s">
        <v>4640</v>
      </c>
      <c r="F1460" s="1">
        <v>6.0417830607985203E-2</v>
      </c>
      <c r="G1460" s="1">
        <v>-0.26696802451114099</v>
      </c>
      <c r="H1460" s="1">
        <v>0.123</v>
      </c>
      <c r="I1460" s="1">
        <v>0.28299999999999997</v>
      </c>
      <c r="J1460" s="1">
        <v>2</v>
      </c>
    </row>
    <row r="1461" spans="1:10" x14ac:dyDescent="0.2">
      <c r="A1461" s="1" t="s">
        <v>4639</v>
      </c>
      <c r="B1461" s="1" t="s">
        <v>4638</v>
      </c>
      <c r="C1461" s="1" t="s">
        <v>4637</v>
      </c>
      <c r="D1461" s="2" t="str">
        <f t="shared" si="22"/>
        <v>http://zfin.org/ZDB-GENE-040426-1945</v>
      </c>
      <c r="E1461" s="1" t="s">
        <v>4636</v>
      </c>
      <c r="F1461" s="1">
        <v>4.14056462633203E-2</v>
      </c>
      <c r="G1461" s="1">
        <v>-0.26662384748086099</v>
      </c>
      <c r="H1461" s="1">
        <v>0.41199999999999998</v>
      </c>
      <c r="I1461" s="1">
        <v>0.51700000000000002</v>
      </c>
      <c r="J1461" s="1">
        <v>2</v>
      </c>
    </row>
    <row r="1462" spans="1:10" x14ac:dyDescent="0.2">
      <c r="A1462" s="1" t="s">
        <v>4635</v>
      </c>
      <c r="B1462" s="1" t="s">
        <v>4634</v>
      </c>
      <c r="C1462" s="1" t="s">
        <v>4633</v>
      </c>
      <c r="D1462" s="2" t="str">
        <f t="shared" si="22"/>
        <v>http://zfin.org/ZDB-GENE-040426-2077</v>
      </c>
      <c r="E1462" s="1" t="s">
        <v>4632</v>
      </c>
      <c r="F1462" s="1">
        <v>6.4113523033450699E-3</v>
      </c>
      <c r="G1462" s="1">
        <v>-0.26659068212888598</v>
      </c>
      <c r="H1462" s="1">
        <v>9.6000000000000002E-2</v>
      </c>
      <c r="I1462" s="1">
        <v>0.13300000000000001</v>
      </c>
      <c r="J1462" s="1">
        <v>2</v>
      </c>
    </row>
    <row r="1463" spans="1:10" x14ac:dyDescent="0.2">
      <c r="A1463" s="1" t="s">
        <v>4631</v>
      </c>
      <c r="B1463" s="1" t="s">
        <v>4630</v>
      </c>
      <c r="C1463" s="1" t="s">
        <v>4629</v>
      </c>
      <c r="D1463" s="2" t="str">
        <f t="shared" si="22"/>
        <v>http://zfin.org/ZDB-GENE-030131-8984</v>
      </c>
      <c r="E1463" s="1" t="s">
        <v>4628</v>
      </c>
      <c r="F1463" s="1">
        <v>2.8938051912493799E-2</v>
      </c>
      <c r="G1463" s="1">
        <v>-0.26642110951211201</v>
      </c>
      <c r="H1463" s="1">
        <v>0.123</v>
      </c>
      <c r="I1463" s="1">
        <v>0.3</v>
      </c>
      <c r="J1463" s="1">
        <v>2</v>
      </c>
    </row>
    <row r="1464" spans="1:10" x14ac:dyDescent="0.2">
      <c r="A1464" s="1" t="s">
        <v>4627</v>
      </c>
      <c r="B1464" s="1" t="s">
        <v>4626</v>
      </c>
      <c r="D1464" s="2" t="str">
        <f t="shared" si="22"/>
        <v>http://zfin.org/</v>
      </c>
      <c r="E1464" s="1" t="s">
        <v>4625</v>
      </c>
      <c r="F1464" s="1">
        <v>1.51342378013994E-2</v>
      </c>
      <c r="G1464" s="1">
        <v>-0.26626145833936299</v>
      </c>
      <c r="H1464" s="1">
        <v>8.9999999999999993E-3</v>
      </c>
      <c r="I1464" s="1">
        <v>0.13300000000000001</v>
      </c>
      <c r="J1464" s="1">
        <v>2</v>
      </c>
    </row>
    <row r="1465" spans="1:10" x14ac:dyDescent="0.2">
      <c r="A1465" s="1" t="s">
        <v>4624</v>
      </c>
      <c r="B1465" s="1" t="s">
        <v>4623</v>
      </c>
      <c r="C1465" s="1" t="s">
        <v>4622</v>
      </c>
      <c r="D1465" s="2" t="str">
        <f t="shared" si="22"/>
        <v>http://zfin.org/ZDB-GENE-080303-9</v>
      </c>
      <c r="E1465" s="1" t="s">
        <v>4621</v>
      </c>
      <c r="F1465" s="1">
        <v>1.7524902846884399E-3</v>
      </c>
      <c r="G1465" s="1">
        <v>-0.26621490839148398</v>
      </c>
      <c r="H1465" s="1">
        <v>6.0999999999999999E-2</v>
      </c>
      <c r="I1465" s="1">
        <v>0.13300000000000001</v>
      </c>
      <c r="J1465" s="1">
        <v>2</v>
      </c>
    </row>
    <row r="1466" spans="1:10" x14ac:dyDescent="0.2">
      <c r="A1466" s="1" t="s">
        <v>4620</v>
      </c>
      <c r="B1466" s="1" t="s">
        <v>4619</v>
      </c>
      <c r="C1466" s="1" t="s">
        <v>4618</v>
      </c>
      <c r="D1466" s="2" t="str">
        <f t="shared" si="22"/>
        <v>http://zfin.org/ZDB-GENE-040718-469</v>
      </c>
      <c r="E1466" s="1" t="s">
        <v>4617</v>
      </c>
      <c r="F1466" s="1">
        <v>1.6398484830231601E-3</v>
      </c>
      <c r="G1466" s="1">
        <v>-0.266130984281226</v>
      </c>
      <c r="H1466" s="1">
        <v>0.193</v>
      </c>
      <c r="I1466" s="1">
        <v>0.3</v>
      </c>
      <c r="J1466" s="1">
        <v>2</v>
      </c>
    </row>
    <row r="1467" spans="1:10" x14ac:dyDescent="0.2">
      <c r="A1467" s="1" t="s">
        <v>4616</v>
      </c>
      <c r="B1467" s="1" t="s">
        <v>4615</v>
      </c>
      <c r="C1467" s="1" t="s">
        <v>4614</v>
      </c>
      <c r="D1467" s="2" t="str">
        <f t="shared" si="22"/>
        <v>http://zfin.org/ZDB-GENE-060503-233</v>
      </c>
      <c r="E1467" s="1" t="s">
        <v>4613</v>
      </c>
      <c r="F1467" s="1">
        <v>5.6271599479643998E-4</v>
      </c>
      <c r="G1467" s="1">
        <v>-0.26559132805296098</v>
      </c>
      <c r="H1467" s="1">
        <v>0.746</v>
      </c>
      <c r="I1467" s="1">
        <v>0.68300000000000005</v>
      </c>
      <c r="J1467" s="1">
        <v>2</v>
      </c>
    </row>
    <row r="1468" spans="1:10" x14ac:dyDescent="0.2">
      <c r="A1468" s="1" t="s">
        <v>4612</v>
      </c>
      <c r="B1468" s="1" t="s">
        <v>4611</v>
      </c>
      <c r="C1468" s="1" t="s">
        <v>4610</v>
      </c>
      <c r="D1468" s="2" t="str">
        <f t="shared" si="22"/>
        <v>http://zfin.org/ZDB-GENE-060825-128</v>
      </c>
      <c r="E1468" s="1" t="s">
        <v>4609</v>
      </c>
      <c r="F1468" s="1">
        <v>2.72778407277125E-3</v>
      </c>
      <c r="G1468" s="1">
        <v>-0.26547946509535097</v>
      </c>
      <c r="H1468" s="1">
        <v>0.22800000000000001</v>
      </c>
      <c r="I1468" s="1">
        <v>0.28299999999999997</v>
      </c>
      <c r="J1468" s="1">
        <v>2</v>
      </c>
    </row>
    <row r="1469" spans="1:10" x14ac:dyDescent="0.2">
      <c r="A1469" s="1" t="s">
        <v>4608</v>
      </c>
      <c r="B1469" s="1" t="s">
        <v>4607</v>
      </c>
      <c r="C1469" s="1" t="s">
        <v>4606</v>
      </c>
      <c r="D1469" s="2" t="str">
        <f t="shared" si="22"/>
        <v>http://zfin.org/ZDB-GENE-050522-240</v>
      </c>
      <c r="E1469" s="1" t="s">
        <v>4605</v>
      </c>
      <c r="F1469" s="1">
        <v>1.23714832142076E-2</v>
      </c>
      <c r="G1469" s="1">
        <v>-0.26516254795355398</v>
      </c>
      <c r="H1469" s="1">
        <v>0.28100000000000003</v>
      </c>
      <c r="I1469" s="1">
        <v>0.433</v>
      </c>
      <c r="J1469" s="1">
        <v>2</v>
      </c>
    </row>
    <row r="1470" spans="1:10" x14ac:dyDescent="0.2">
      <c r="A1470" s="1" t="s">
        <v>4604</v>
      </c>
      <c r="B1470" s="1" t="s">
        <v>4603</v>
      </c>
      <c r="C1470" s="1" t="s">
        <v>4602</v>
      </c>
      <c r="D1470" s="2" t="str">
        <f t="shared" si="22"/>
        <v>http://zfin.org/ZDB-GENE-030829-40</v>
      </c>
      <c r="E1470" s="1" t="s">
        <v>4601</v>
      </c>
      <c r="F1470" s="1">
        <v>3.1451095491641899E-3</v>
      </c>
      <c r="G1470" s="1">
        <v>-0.26495470165053597</v>
      </c>
      <c r="H1470" s="1">
        <v>3.5000000000000003E-2</v>
      </c>
      <c r="I1470" s="1">
        <v>0.13300000000000001</v>
      </c>
      <c r="J1470" s="1">
        <v>2</v>
      </c>
    </row>
    <row r="1471" spans="1:10" x14ac:dyDescent="0.2">
      <c r="A1471" s="1" t="s">
        <v>4600</v>
      </c>
      <c r="B1471" s="1" t="s">
        <v>4599</v>
      </c>
      <c r="C1471" s="1" t="s">
        <v>4598</v>
      </c>
      <c r="D1471" s="2" t="str">
        <f t="shared" si="22"/>
        <v>http://zfin.org/ZDB-GENE-070112-991</v>
      </c>
      <c r="E1471" s="1" t="s">
        <v>4597</v>
      </c>
      <c r="F1471" s="1">
        <v>2.0717658368310499E-4</v>
      </c>
      <c r="G1471" s="1">
        <v>-0.26486883811390699</v>
      </c>
      <c r="H1471" s="1">
        <v>8.7999999999999995E-2</v>
      </c>
      <c r="I1471" s="1">
        <v>0.16700000000000001</v>
      </c>
      <c r="J1471" s="1">
        <v>2</v>
      </c>
    </row>
    <row r="1472" spans="1:10" x14ac:dyDescent="0.2">
      <c r="A1472" s="1" t="s">
        <v>4596</v>
      </c>
      <c r="B1472" s="1" t="s">
        <v>4595</v>
      </c>
      <c r="C1472" s="1" t="s">
        <v>4594</v>
      </c>
      <c r="D1472" s="2" t="str">
        <f t="shared" si="22"/>
        <v>http://zfin.org/ZDB-GENE-060503-896</v>
      </c>
      <c r="E1472" s="1" t="s">
        <v>4593</v>
      </c>
      <c r="F1472" s="3">
        <v>5.4322248793590099E-5</v>
      </c>
      <c r="G1472" s="1">
        <v>-0.264677585466712</v>
      </c>
      <c r="H1472" s="1">
        <v>9.6000000000000002E-2</v>
      </c>
      <c r="I1472" s="1">
        <v>0.23300000000000001</v>
      </c>
      <c r="J1472" s="1">
        <v>2</v>
      </c>
    </row>
    <row r="1473" spans="1:10" x14ac:dyDescent="0.2">
      <c r="A1473" s="1" t="s">
        <v>4592</v>
      </c>
      <c r="B1473" s="1" t="s">
        <v>4591</v>
      </c>
      <c r="C1473" s="1" t="s">
        <v>4590</v>
      </c>
      <c r="D1473" s="2" t="str">
        <f t="shared" si="22"/>
        <v>http://zfin.org/ZDB-GENE-030616-72</v>
      </c>
      <c r="E1473" s="1" t="s">
        <v>4589</v>
      </c>
      <c r="F1473" s="1">
        <v>2.5029947117563699E-2</v>
      </c>
      <c r="G1473" s="1">
        <v>-0.26406518472778501</v>
      </c>
      <c r="H1473" s="1">
        <v>0.53500000000000003</v>
      </c>
      <c r="I1473" s="1">
        <v>0.58299999999999996</v>
      </c>
      <c r="J1473" s="1">
        <v>2</v>
      </c>
    </row>
    <row r="1474" spans="1:10" x14ac:dyDescent="0.2">
      <c r="A1474" s="1" t="s">
        <v>4588</v>
      </c>
      <c r="B1474" s="1" t="s">
        <v>4587</v>
      </c>
      <c r="C1474" s="1" t="s">
        <v>4586</v>
      </c>
      <c r="D1474" s="2" t="str">
        <f t="shared" ref="D1474:D1537" si="23">HYPERLINK(E1474)</f>
        <v>http://zfin.org/ZDB-GENE-061013-632</v>
      </c>
      <c r="E1474" s="1" t="s">
        <v>4585</v>
      </c>
      <c r="F1474" s="1">
        <v>1.37706157727875E-4</v>
      </c>
      <c r="G1474" s="1">
        <v>-0.26400462590866602</v>
      </c>
      <c r="H1474" s="1">
        <v>0.36</v>
      </c>
      <c r="I1474" s="1">
        <v>0.38300000000000001</v>
      </c>
      <c r="J1474" s="1">
        <v>2</v>
      </c>
    </row>
    <row r="1475" spans="1:10" x14ac:dyDescent="0.2">
      <c r="A1475" s="1" t="s">
        <v>4584</v>
      </c>
      <c r="B1475" s="1" t="s">
        <v>4583</v>
      </c>
      <c r="C1475" s="1" t="s">
        <v>4582</v>
      </c>
      <c r="D1475" s="2" t="str">
        <f t="shared" si="23"/>
        <v>http://zfin.org/ZDB-GENE-041114-32</v>
      </c>
      <c r="E1475" s="1" t="s">
        <v>4581</v>
      </c>
      <c r="F1475" s="1">
        <v>1.01752752828747E-3</v>
      </c>
      <c r="G1475" s="1">
        <v>-0.263278258413845</v>
      </c>
      <c r="H1475" s="1">
        <v>0.32500000000000001</v>
      </c>
      <c r="I1475" s="1">
        <v>0.35</v>
      </c>
      <c r="J1475" s="1">
        <v>2</v>
      </c>
    </row>
    <row r="1476" spans="1:10" x14ac:dyDescent="0.2">
      <c r="A1476" s="1" t="s">
        <v>4580</v>
      </c>
      <c r="B1476" s="1" t="s">
        <v>4579</v>
      </c>
      <c r="C1476" s="1" t="s">
        <v>4578</v>
      </c>
      <c r="D1476" s="2" t="str">
        <f t="shared" si="23"/>
        <v>http://zfin.org/ZDB-GENE-041008-187</v>
      </c>
      <c r="E1476" s="1" t="s">
        <v>4577</v>
      </c>
      <c r="F1476" s="1">
        <v>1.13781742873767E-4</v>
      </c>
      <c r="G1476" s="1">
        <v>-0.26310915356624298</v>
      </c>
      <c r="H1476" s="1">
        <v>7.9000000000000001E-2</v>
      </c>
      <c r="I1476" s="1">
        <v>0.15</v>
      </c>
      <c r="J1476" s="1">
        <v>2</v>
      </c>
    </row>
    <row r="1477" spans="1:10" x14ac:dyDescent="0.2">
      <c r="A1477" s="1" t="s">
        <v>4576</v>
      </c>
      <c r="B1477" s="1" t="s">
        <v>4575</v>
      </c>
      <c r="C1477" s="1" t="s">
        <v>4574</v>
      </c>
      <c r="D1477" s="2" t="str">
        <f t="shared" si="23"/>
        <v>http://zfin.org/ZDB-GENE-030131-6609</v>
      </c>
      <c r="E1477" s="1" t="s">
        <v>4573</v>
      </c>
      <c r="F1477" s="3">
        <v>9.6360189846242302E-6</v>
      </c>
      <c r="G1477" s="1">
        <v>-0.26267006233760198</v>
      </c>
      <c r="H1477" s="1">
        <v>0.21099999999999999</v>
      </c>
      <c r="I1477" s="1">
        <v>0.33300000000000002</v>
      </c>
      <c r="J1477" s="1">
        <v>2</v>
      </c>
    </row>
    <row r="1478" spans="1:10" x14ac:dyDescent="0.2">
      <c r="A1478" s="1" t="s">
        <v>4572</v>
      </c>
      <c r="B1478" s="1" t="s">
        <v>4571</v>
      </c>
      <c r="C1478" s="1" t="s">
        <v>4570</v>
      </c>
      <c r="D1478" s="2" t="str">
        <f t="shared" si="23"/>
        <v>http://zfin.org/ZDB-GENE-141216-78</v>
      </c>
      <c r="E1478" s="1" t="s">
        <v>4569</v>
      </c>
      <c r="F1478" s="1">
        <v>1.35099041825873E-3</v>
      </c>
      <c r="G1478" s="1">
        <v>-0.262651717701336</v>
      </c>
      <c r="H1478" s="1">
        <v>0.32500000000000001</v>
      </c>
      <c r="I1478" s="1">
        <v>0.35</v>
      </c>
      <c r="J1478" s="1">
        <v>2</v>
      </c>
    </row>
    <row r="1479" spans="1:10" x14ac:dyDescent="0.2">
      <c r="A1479" s="1" t="s">
        <v>4568</v>
      </c>
      <c r="B1479" s="1" t="s">
        <v>4567</v>
      </c>
      <c r="C1479" s="1" t="s">
        <v>4566</v>
      </c>
      <c r="D1479" s="2" t="str">
        <f t="shared" si="23"/>
        <v>http://zfin.org/ZDB-GENE-040426-820</v>
      </c>
      <c r="E1479" s="1" t="s">
        <v>4565</v>
      </c>
      <c r="F1479" s="3">
        <v>8.1931287908542803E-5</v>
      </c>
      <c r="G1479" s="1">
        <v>-0.26264378392940202</v>
      </c>
      <c r="H1479" s="1">
        <v>0.27200000000000002</v>
      </c>
      <c r="I1479" s="1">
        <v>0.28299999999999997</v>
      </c>
      <c r="J1479" s="1">
        <v>2</v>
      </c>
    </row>
    <row r="1480" spans="1:10" x14ac:dyDescent="0.2">
      <c r="A1480" s="1" t="s">
        <v>4564</v>
      </c>
      <c r="B1480" s="1" t="s">
        <v>4563</v>
      </c>
      <c r="C1480" s="1" t="s">
        <v>4562</v>
      </c>
      <c r="D1480" s="2" t="str">
        <f t="shared" si="23"/>
        <v>http://zfin.org/ZDB-GENE-021031-2</v>
      </c>
      <c r="E1480" s="1" t="s">
        <v>4561</v>
      </c>
      <c r="F1480" s="3">
        <v>8.9803097734600303E-9</v>
      </c>
      <c r="G1480" s="1">
        <v>-0.26243193685648802</v>
      </c>
      <c r="H1480" s="1">
        <v>0.29799999999999999</v>
      </c>
      <c r="I1480" s="1">
        <v>0.317</v>
      </c>
      <c r="J1480" s="1">
        <v>2</v>
      </c>
    </row>
    <row r="1481" spans="1:10" x14ac:dyDescent="0.2">
      <c r="A1481" s="1" t="s">
        <v>4560</v>
      </c>
      <c r="B1481" s="1" t="s">
        <v>4559</v>
      </c>
      <c r="C1481" s="1" t="s">
        <v>4558</v>
      </c>
      <c r="D1481" s="2" t="str">
        <f t="shared" si="23"/>
        <v>http://zfin.org/ZDB-GENE-040426-2900</v>
      </c>
      <c r="E1481" s="1" t="s">
        <v>4557</v>
      </c>
      <c r="F1481" s="1">
        <v>8.3333737007939002E-2</v>
      </c>
      <c r="G1481" s="1">
        <v>-0.26214624691340099</v>
      </c>
      <c r="H1481" s="1">
        <v>0.42099999999999999</v>
      </c>
      <c r="I1481" s="1">
        <v>0.5</v>
      </c>
      <c r="J1481" s="1">
        <v>2</v>
      </c>
    </row>
    <row r="1482" spans="1:10" x14ac:dyDescent="0.2">
      <c r="A1482" s="1" t="s">
        <v>4556</v>
      </c>
      <c r="B1482" s="1" t="s">
        <v>4555</v>
      </c>
      <c r="C1482" s="1" t="s">
        <v>4554</v>
      </c>
      <c r="D1482" s="2" t="str">
        <f t="shared" si="23"/>
        <v>http://zfin.org/ZDB-GENE-030131-8767</v>
      </c>
      <c r="E1482" s="1" t="s">
        <v>4553</v>
      </c>
      <c r="F1482" s="1">
        <v>5.9885431930623804E-4</v>
      </c>
      <c r="G1482" s="1">
        <v>-0.26212493680883497</v>
      </c>
      <c r="H1482" s="1">
        <v>0.14899999999999999</v>
      </c>
      <c r="I1482" s="1">
        <v>0.26700000000000002</v>
      </c>
      <c r="J1482" s="1">
        <v>2</v>
      </c>
    </row>
    <row r="1483" spans="1:10" x14ac:dyDescent="0.2">
      <c r="A1483" s="1" t="s">
        <v>4552</v>
      </c>
      <c r="B1483" s="1" t="s">
        <v>4551</v>
      </c>
      <c r="C1483" s="1" t="s">
        <v>4550</v>
      </c>
      <c r="D1483" s="2" t="str">
        <f t="shared" si="23"/>
        <v>http://zfin.org/ZDB-GENE-030131-8215</v>
      </c>
      <c r="E1483" s="1" t="s">
        <v>4549</v>
      </c>
      <c r="F1483" s="1">
        <v>5.6672938068906401E-2</v>
      </c>
      <c r="G1483" s="1">
        <v>-0.26204827831201599</v>
      </c>
      <c r="H1483" s="1">
        <v>7.0000000000000007E-2</v>
      </c>
      <c r="I1483" s="1">
        <v>0.13300000000000001</v>
      </c>
      <c r="J1483" s="1">
        <v>2</v>
      </c>
    </row>
    <row r="1484" spans="1:10" x14ac:dyDescent="0.2">
      <c r="A1484" s="1" t="s">
        <v>4548</v>
      </c>
      <c r="B1484" s="1" t="s">
        <v>4547</v>
      </c>
      <c r="C1484" s="1" t="s">
        <v>4546</v>
      </c>
      <c r="D1484" s="2" t="str">
        <f t="shared" si="23"/>
        <v>http://zfin.org/ZDB-GENE-040718-291</v>
      </c>
      <c r="E1484" s="1" t="s">
        <v>4545</v>
      </c>
      <c r="F1484" s="1">
        <v>2.7062427751739799E-3</v>
      </c>
      <c r="G1484" s="1">
        <v>-0.26180399289272999</v>
      </c>
      <c r="H1484" s="1">
        <v>0.14899999999999999</v>
      </c>
      <c r="I1484" s="1">
        <v>0.25</v>
      </c>
      <c r="J1484" s="1">
        <v>2</v>
      </c>
    </row>
    <row r="1485" spans="1:10" x14ac:dyDescent="0.2">
      <c r="A1485" s="1" t="s">
        <v>4544</v>
      </c>
      <c r="B1485" s="1" t="s">
        <v>4543</v>
      </c>
      <c r="C1485" s="1" t="s">
        <v>4542</v>
      </c>
      <c r="D1485" s="2" t="str">
        <f t="shared" si="23"/>
        <v>http://zfin.org/ZDB-GENE-040426-962</v>
      </c>
      <c r="E1485" s="1" t="s">
        <v>4541</v>
      </c>
      <c r="F1485" s="3">
        <v>4.5288145821423298E-6</v>
      </c>
      <c r="G1485" s="1">
        <v>-0.26163218263092303</v>
      </c>
      <c r="H1485" s="1">
        <v>0.65800000000000003</v>
      </c>
      <c r="I1485" s="1">
        <v>0.6</v>
      </c>
      <c r="J1485" s="1">
        <v>2</v>
      </c>
    </row>
    <row r="1486" spans="1:10" x14ac:dyDescent="0.2">
      <c r="A1486" s="1" t="s">
        <v>2456</v>
      </c>
      <c r="B1486" s="1" t="s">
        <v>2455</v>
      </c>
      <c r="C1486" s="1" t="s">
        <v>2454</v>
      </c>
      <c r="D1486" s="2" t="str">
        <f t="shared" si="23"/>
        <v>http://zfin.org/ZDB-GENE-060810-79</v>
      </c>
      <c r="E1486" s="1" t="s">
        <v>4540</v>
      </c>
      <c r="F1486" s="1">
        <v>8.0372417410332596E-3</v>
      </c>
      <c r="G1486" s="1">
        <v>-0.261623404554929</v>
      </c>
      <c r="H1486" s="1">
        <v>0.56100000000000005</v>
      </c>
      <c r="I1486" s="1">
        <v>0.6</v>
      </c>
      <c r="J1486" s="1">
        <v>2</v>
      </c>
    </row>
    <row r="1487" spans="1:10" x14ac:dyDescent="0.2">
      <c r="A1487" s="1" t="s">
        <v>4539</v>
      </c>
      <c r="B1487" s="1" t="s">
        <v>4538</v>
      </c>
      <c r="C1487" s="1" t="s">
        <v>4537</v>
      </c>
      <c r="D1487" s="2" t="str">
        <f t="shared" si="23"/>
        <v>http://zfin.org/ZDB-GENE-031002-18</v>
      </c>
      <c r="E1487" s="1" t="s">
        <v>4536</v>
      </c>
      <c r="F1487" s="1">
        <v>2.7171960074444802E-3</v>
      </c>
      <c r="G1487" s="1">
        <v>-0.26157283872117998</v>
      </c>
      <c r="H1487" s="1">
        <v>1.7999999999999999E-2</v>
      </c>
      <c r="I1487" s="1">
        <v>0.11700000000000001</v>
      </c>
      <c r="J1487" s="1">
        <v>2</v>
      </c>
    </row>
    <row r="1488" spans="1:10" x14ac:dyDescent="0.2">
      <c r="A1488" s="1" t="s">
        <v>4535</v>
      </c>
      <c r="B1488" s="1" t="s">
        <v>4534</v>
      </c>
      <c r="C1488" s="1" t="s">
        <v>4533</v>
      </c>
      <c r="D1488" s="2" t="str">
        <f t="shared" si="23"/>
        <v>http://zfin.org/ZDB-GENE-051113-312</v>
      </c>
      <c r="E1488" s="1" t="s">
        <v>4532</v>
      </c>
      <c r="F1488" s="1">
        <v>1.2119342123313301E-3</v>
      </c>
      <c r="G1488" s="1">
        <v>-0.26156108672719802</v>
      </c>
      <c r="H1488" s="1">
        <v>0.193</v>
      </c>
      <c r="I1488" s="1">
        <v>0.25</v>
      </c>
      <c r="J1488" s="1">
        <v>2</v>
      </c>
    </row>
    <row r="1489" spans="1:10" x14ac:dyDescent="0.2">
      <c r="A1489" s="1" t="s">
        <v>4531</v>
      </c>
      <c r="B1489" s="1" t="s">
        <v>4530</v>
      </c>
      <c r="C1489" s="1" t="s">
        <v>4529</v>
      </c>
      <c r="D1489" s="2" t="str">
        <f t="shared" si="23"/>
        <v>http://zfin.org/ZDB-GENE-030131-5277</v>
      </c>
      <c r="E1489" s="1" t="s">
        <v>4528</v>
      </c>
      <c r="F1489" s="3">
        <v>1.0465993571134899E-5</v>
      </c>
      <c r="G1489" s="1">
        <v>-0.261545776259417</v>
      </c>
      <c r="H1489" s="1">
        <v>0.439</v>
      </c>
      <c r="I1489" s="1">
        <v>0.4</v>
      </c>
      <c r="J1489" s="1">
        <v>2</v>
      </c>
    </row>
    <row r="1490" spans="1:10" x14ac:dyDescent="0.2">
      <c r="A1490" s="1" t="s">
        <v>4527</v>
      </c>
      <c r="B1490" s="1" t="s">
        <v>4526</v>
      </c>
      <c r="C1490" s="1" t="s">
        <v>4525</v>
      </c>
      <c r="D1490" s="2" t="str">
        <f t="shared" si="23"/>
        <v>http://zfin.org/ZDB-GENE-040801-170</v>
      </c>
      <c r="E1490" s="1" t="s">
        <v>4524</v>
      </c>
      <c r="F1490" s="1">
        <v>2.05318515155887E-3</v>
      </c>
      <c r="G1490" s="1">
        <v>-0.26112489378406101</v>
      </c>
      <c r="H1490" s="1">
        <v>0.64900000000000002</v>
      </c>
      <c r="I1490" s="1">
        <v>0.66700000000000004</v>
      </c>
      <c r="J1490" s="1">
        <v>2</v>
      </c>
    </row>
    <row r="1491" spans="1:10" x14ac:dyDescent="0.2">
      <c r="A1491" s="1" t="s">
        <v>4523</v>
      </c>
      <c r="B1491" s="1" t="s">
        <v>4522</v>
      </c>
      <c r="C1491" s="1" t="s">
        <v>4521</v>
      </c>
      <c r="D1491" s="2" t="str">
        <f t="shared" si="23"/>
        <v>http://zfin.org/ZDB-GENE-040718-422</v>
      </c>
      <c r="E1491" s="1" t="s">
        <v>4520</v>
      </c>
      <c r="F1491" s="1">
        <v>2.5303951522067198E-3</v>
      </c>
      <c r="G1491" s="1">
        <v>-0.25996017967730001</v>
      </c>
      <c r="H1491" s="1">
        <v>0.34200000000000003</v>
      </c>
      <c r="I1491" s="1">
        <v>0.38300000000000001</v>
      </c>
      <c r="J1491" s="1">
        <v>2</v>
      </c>
    </row>
    <row r="1492" spans="1:10" x14ac:dyDescent="0.2">
      <c r="A1492" s="1" t="s">
        <v>4519</v>
      </c>
      <c r="B1492" s="1" t="s">
        <v>4518</v>
      </c>
      <c r="C1492" s="1" t="s">
        <v>4517</v>
      </c>
      <c r="D1492" s="2" t="str">
        <f t="shared" si="23"/>
        <v>http://zfin.org/ZDB-GENE-071004-104</v>
      </c>
      <c r="E1492" s="1" t="s">
        <v>4516</v>
      </c>
      <c r="F1492" s="1">
        <v>1.7968126790475901E-2</v>
      </c>
      <c r="G1492" s="1">
        <v>-0.25990089807907202</v>
      </c>
      <c r="H1492" s="1">
        <v>8.9999999999999993E-3</v>
      </c>
      <c r="I1492" s="1">
        <v>0.13300000000000001</v>
      </c>
      <c r="J1492" s="1">
        <v>2</v>
      </c>
    </row>
    <row r="1493" spans="1:10" x14ac:dyDescent="0.2">
      <c r="A1493" s="1" t="s">
        <v>1780</v>
      </c>
      <c r="B1493" s="1" t="s">
        <v>1779</v>
      </c>
      <c r="C1493" s="1" t="s">
        <v>1778</v>
      </c>
      <c r="D1493" s="2" t="str">
        <f t="shared" si="23"/>
        <v>http://zfin.org/ZDB-GENE-030131-419</v>
      </c>
      <c r="E1493" s="1" t="s">
        <v>4515</v>
      </c>
      <c r="F1493" s="1">
        <v>8.32883749815595E-4</v>
      </c>
      <c r="G1493" s="1">
        <v>-0.25940330888467</v>
      </c>
      <c r="H1493" s="1">
        <v>0.13200000000000001</v>
      </c>
      <c r="I1493" s="1">
        <v>0.217</v>
      </c>
      <c r="J1493" s="1">
        <v>2</v>
      </c>
    </row>
    <row r="1494" spans="1:10" x14ac:dyDescent="0.2">
      <c r="A1494" s="1" t="s">
        <v>4514</v>
      </c>
      <c r="B1494" s="1" t="s">
        <v>4513</v>
      </c>
      <c r="C1494" s="1" t="s">
        <v>4512</v>
      </c>
      <c r="D1494" s="2" t="str">
        <f t="shared" si="23"/>
        <v>http://zfin.org/ZDB-GENE-030131-373</v>
      </c>
      <c r="E1494" s="1" t="s">
        <v>4511</v>
      </c>
      <c r="F1494" s="1">
        <v>6.3043496267594203E-3</v>
      </c>
      <c r="G1494" s="1">
        <v>-0.2593281232447</v>
      </c>
      <c r="H1494" s="1">
        <v>0.13200000000000001</v>
      </c>
      <c r="I1494" s="1">
        <v>0.25</v>
      </c>
      <c r="J1494" s="1">
        <v>2</v>
      </c>
    </row>
    <row r="1495" spans="1:10" x14ac:dyDescent="0.2">
      <c r="A1495" s="1" t="s">
        <v>4510</v>
      </c>
      <c r="B1495" s="1" t="s">
        <v>4509</v>
      </c>
      <c r="C1495" s="1" t="s">
        <v>4508</v>
      </c>
      <c r="D1495" s="2" t="str">
        <f t="shared" si="23"/>
        <v>http://zfin.org/ZDB-GENE-040426-2695</v>
      </c>
      <c r="E1495" s="1" t="s">
        <v>4507</v>
      </c>
      <c r="F1495" s="3">
        <v>8.5524831144333197E-5</v>
      </c>
      <c r="G1495" s="1">
        <v>-0.25930268364985198</v>
      </c>
      <c r="H1495" s="1">
        <v>0.34200000000000003</v>
      </c>
      <c r="I1495" s="1">
        <v>0.38300000000000001</v>
      </c>
      <c r="J1495" s="1">
        <v>2</v>
      </c>
    </row>
    <row r="1496" spans="1:10" x14ac:dyDescent="0.2">
      <c r="A1496" s="1" t="s">
        <v>4506</v>
      </c>
      <c r="B1496" s="1" t="s">
        <v>4505</v>
      </c>
      <c r="C1496" s="1" t="s">
        <v>4504</v>
      </c>
      <c r="D1496" s="2" t="str">
        <f t="shared" si="23"/>
        <v>http://zfin.org/ZDB-GENE-040426-1861</v>
      </c>
      <c r="E1496" s="1" t="s">
        <v>4503</v>
      </c>
      <c r="F1496" s="1">
        <v>6.8950141736247696E-3</v>
      </c>
      <c r="G1496" s="1">
        <v>-0.259247795056675</v>
      </c>
      <c r="H1496" s="1">
        <v>0.57899999999999996</v>
      </c>
      <c r="I1496" s="1">
        <v>0.65</v>
      </c>
      <c r="J1496" s="1">
        <v>2</v>
      </c>
    </row>
    <row r="1497" spans="1:10" x14ac:dyDescent="0.2">
      <c r="A1497" s="1" t="s">
        <v>4502</v>
      </c>
      <c r="B1497" s="1" t="s">
        <v>4501</v>
      </c>
      <c r="C1497" s="1" t="s">
        <v>4500</v>
      </c>
      <c r="D1497" s="2" t="str">
        <f t="shared" si="23"/>
        <v>http://zfin.org/ZDB-GENE-030131-1986</v>
      </c>
      <c r="E1497" s="1" t="s">
        <v>4499</v>
      </c>
      <c r="F1497" s="3">
        <v>2.50619155582906E-6</v>
      </c>
      <c r="G1497" s="1">
        <v>-0.25915133269379498</v>
      </c>
      <c r="H1497" s="1">
        <v>0.41199999999999998</v>
      </c>
      <c r="I1497" s="1">
        <v>0.35</v>
      </c>
      <c r="J1497" s="1">
        <v>2</v>
      </c>
    </row>
    <row r="1498" spans="1:10" x14ac:dyDescent="0.2">
      <c r="A1498" s="1" t="s">
        <v>4498</v>
      </c>
      <c r="B1498" s="1" t="s">
        <v>4497</v>
      </c>
      <c r="C1498" s="1" t="s">
        <v>4496</v>
      </c>
      <c r="D1498" s="2" t="str">
        <f t="shared" si="23"/>
        <v>http://zfin.org/ZDB-GENE-040426-2020</v>
      </c>
      <c r="E1498" s="1" t="s">
        <v>4495</v>
      </c>
      <c r="F1498" s="1">
        <v>6.9241760920424698E-3</v>
      </c>
      <c r="G1498" s="1">
        <v>-0.25913826073027701</v>
      </c>
      <c r="H1498" s="1">
        <v>0.21099999999999999</v>
      </c>
      <c r="I1498" s="1">
        <v>0.3</v>
      </c>
      <c r="J1498" s="1">
        <v>2</v>
      </c>
    </row>
    <row r="1499" spans="1:10" x14ac:dyDescent="0.2">
      <c r="A1499" s="1" t="s">
        <v>4494</v>
      </c>
      <c r="B1499" s="1" t="s">
        <v>4493</v>
      </c>
      <c r="C1499" s="1" t="s">
        <v>4492</v>
      </c>
      <c r="D1499" s="2" t="str">
        <f t="shared" si="23"/>
        <v>http://zfin.org/ZDB-GENE-040718-228</v>
      </c>
      <c r="E1499" s="1" t="s">
        <v>4491</v>
      </c>
      <c r="F1499" s="1">
        <v>4.3920887880388601E-4</v>
      </c>
      <c r="G1499" s="1">
        <v>-0.25913097510947097</v>
      </c>
      <c r="H1499" s="1">
        <v>2.5999999999999999E-2</v>
      </c>
      <c r="I1499" s="1">
        <v>0.15</v>
      </c>
      <c r="J1499" s="1">
        <v>2</v>
      </c>
    </row>
    <row r="1500" spans="1:10" x14ac:dyDescent="0.2">
      <c r="A1500" s="1" t="s">
        <v>4490</v>
      </c>
      <c r="B1500" s="1" t="s">
        <v>4489</v>
      </c>
      <c r="C1500" s="1" t="s">
        <v>4488</v>
      </c>
      <c r="D1500" s="2" t="str">
        <f t="shared" si="23"/>
        <v>http://zfin.org/ZDB-GENE-050522-513</v>
      </c>
      <c r="E1500" s="1" t="s">
        <v>4487</v>
      </c>
      <c r="F1500" s="1">
        <v>1.40510471131171E-3</v>
      </c>
      <c r="G1500" s="1">
        <v>-0.258764607078807</v>
      </c>
      <c r="H1500" s="1">
        <v>0.158</v>
      </c>
      <c r="I1500" s="1">
        <v>0.23300000000000001</v>
      </c>
      <c r="J1500" s="1">
        <v>2</v>
      </c>
    </row>
    <row r="1501" spans="1:10" x14ac:dyDescent="0.2">
      <c r="A1501" s="1" t="s">
        <v>4486</v>
      </c>
      <c r="B1501" s="1" t="s">
        <v>4485</v>
      </c>
      <c r="C1501" s="1" t="s">
        <v>4484</v>
      </c>
      <c r="D1501" s="2" t="str">
        <f t="shared" si="23"/>
        <v>http://zfin.org/ZDB-GENE-030616-595</v>
      </c>
      <c r="E1501" s="1" t="s">
        <v>4483</v>
      </c>
      <c r="F1501" s="1">
        <v>9.1801760123808602E-3</v>
      </c>
      <c r="G1501" s="1">
        <v>-0.25873954788345699</v>
      </c>
      <c r="H1501" s="1">
        <v>1.7999999999999999E-2</v>
      </c>
      <c r="I1501" s="1">
        <v>0.13300000000000001</v>
      </c>
      <c r="J1501" s="1">
        <v>2</v>
      </c>
    </row>
    <row r="1502" spans="1:10" x14ac:dyDescent="0.2">
      <c r="A1502" s="1" t="s">
        <v>4482</v>
      </c>
      <c r="B1502" s="1" t="s">
        <v>4481</v>
      </c>
      <c r="C1502" s="1" t="s">
        <v>4480</v>
      </c>
      <c r="D1502" s="2" t="str">
        <f t="shared" si="23"/>
        <v>http://zfin.org/ZDB-GENE-041008-125</v>
      </c>
      <c r="E1502" s="1" t="s">
        <v>4479</v>
      </c>
      <c r="F1502" s="1">
        <v>7.1515880804993007E-2</v>
      </c>
      <c r="G1502" s="1">
        <v>-0.25845764985699399</v>
      </c>
      <c r="H1502" s="1">
        <v>0.14899999999999999</v>
      </c>
      <c r="I1502" s="1">
        <v>0.25</v>
      </c>
      <c r="J1502" s="1">
        <v>2</v>
      </c>
    </row>
    <row r="1503" spans="1:10" x14ac:dyDescent="0.2">
      <c r="A1503" s="1" t="s">
        <v>4478</v>
      </c>
      <c r="B1503" s="1" t="s">
        <v>4477</v>
      </c>
      <c r="C1503" s="1" t="s">
        <v>4476</v>
      </c>
      <c r="D1503" s="2" t="str">
        <f t="shared" si="23"/>
        <v>http://zfin.org/ZDB-GENE-070629-1</v>
      </c>
      <c r="E1503" s="1" t="s">
        <v>4475</v>
      </c>
      <c r="F1503" s="1">
        <v>4.7735279532621702E-3</v>
      </c>
      <c r="G1503" s="1">
        <v>-0.25839640826200699</v>
      </c>
      <c r="H1503" s="1">
        <v>4.3999999999999997E-2</v>
      </c>
      <c r="I1503" s="1">
        <v>0.15</v>
      </c>
      <c r="J1503" s="1">
        <v>2</v>
      </c>
    </row>
    <row r="1504" spans="1:10" x14ac:dyDescent="0.2">
      <c r="A1504" s="1" t="s">
        <v>4474</v>
      </c>
      <c r="B1504" s="1" t="s">
        <v>4473</v>
      </c>
      <c r="C1504" s="1" t="s">
        <v>4472</v>
      </c>
      <c r="D1504" s="2" t="str">
        <f t="shared" si="23"/>
        <v>http://zfin.org/ZDB-GENE-010130-1</v>
      </c>
      <c r="E1504" s="1" t="s">
        <v>4471</v>
      </c>
      <c r="F1504" s="1">
        <v>0.16799027228504099</v>
      </c>
      <c r="G1504" s="1">
        <v>-0.25789073948334101</v>
      </c>
      <c r="H1504" s="1">
        <v>0.13200000000000001</v>
      </c>
      <c r="I1504" s="1">
        <v>0.217</v>
      </c>
      <c r="J1504" s="1">
        <v>2</v>
      </c>
    </row>
    <row r="1505" spans="1:10" x14ac:dyDescent="0.2">
      <c r="A1505" s="1" t="s">
        <v>4470</v>
      </c>
      <c r="B1505" s="1" t="s">
        <v>4469</v>
      </c>
      <c r="C1505" s="1" t="s">
        <v>4468</v>
      </c>
      <c r="D1505" s="2" t="str">
        <f t="shared" si="23"/>
        <v>http://zfin.org/ZDB-GENE-060331-129</v>
      </c>
      <c r="E1505" s="1" t="s">
        <v>4467</v>
      </c>
      <c r="F1505" s="1">
        <v>1.8178172687642499E-4</v>
      </c>
      <c r="G1505" s="1">
        <v>-0.25768163486089701</v>
      </c>
      <c r="H1505" s="1">
        <v>0.377</v>
      </c>
      <c r="I1505" s="1">
        <v>0.35</v>
      </c>
      <c r="J1505" s="1">
        <v>2</v>
      </c>
    </row>
    <row r="1506" spans="1:10" x14ac:dyDescent="0.2">
      <c r="A1506" s="1" t="s">
        <v>1227</v>
      </c>
      <c r="B1506" s="1" t="s">
        <v>1226</v>
      </c>
      <c r="C1506" s="1" t="s">
        <v>1225</v>
      </c>
      <c r="D1506" s="2" t="str">
        <f t="shared" si="23"/>
        <v>http://zfin.org/ZDB-GENE-070705-81</v>
      </c>
      <c r="E1506" s="1" t="s">
        <v>4466</v>
      </c>
      <c r="F1506" s="1">
        <v>2.1508542474764499E-4</v>
      </c>
      <c r="G1506" s="1">
        <v>-0.25745033209040702</v>
      </c>
      <c r="H1506" s="1">
        <v>2.5999999999999999E-2</v>
      </c>
      <c r="I1506" s="1">
        <v>0.16700000000000001</v>
      </c>
      <c r="J1506" s="1">
        <v>2</v>
      </c>
    </row>
    <row r="1507" spans="1:10" x14ac:dyDescent="0.2">
      <c r="A1507" s="1" t="s">
        <v>4465</v>
      </c>
      <c r="B1507" s="1" t="s">
        <v>4464</v>
      </c>
      <c r="C1507" s="1" t="s">
        <v>4463</v>
      </c>
      <c r="D1507" s="2" t="str">
        <f t="shared" si="23"/>
        <v>http://zfin.org/ZDB-GENE-040801-204</v>
      </c>
      <c r="E1507" s="1" t="s">
        <v>4462</v>
      </c>
      <c r="F1507" s="1">
        <v>1.4129481789058101E-4</v>
      </c>
      <c r="G1507" s="1">
        <v>-0.25734821642640598</v>
      </c>
      <c r="H1507" s="1">
        <v>0.114</v>
      </c>
      <c r="I1507" s="1">
        <v>0.183</v>
      </c>
      <c r="J1507" s="1">
        <v>2</v>
      </c>
    </row>
    <row r="1508" spans="1:10" x14ac:dyDescent="0.2">
      <c r="A1508" s="1" t="s">
        <v>4461</v>
      </c>
      <c r="B1508" s="1" t="s">
        <v>4460</v>
      </c>
      <c r="C1508" s="1" t="s">
        <v>4459</v>
      </c>
      <c r="D1508" s="2" t="str">
        <f t="shared" si="23"/>
        <v>http://zfin.org/ZDB-GENE-030131-371</v>
      </c>
      <c r="E1508" s="1" t="s">
        <v>4458</v>
      </c>
      <c r="F1508" s="1">
        <v>6.0341051367307401E-3</v>
      </c>
      <c r="G1508" s="1">
        <v>-0.257164722482083</v>
      </c>
      <c r="H1508" s="1">
        <v>7.9000000000000001E-2</v>
      </c>
      <c r="I1508" s="1">
        <v>0.2</v>
      </c>
      <c r="J1508" s="1">
        <v>2</v>
      </c>
    </row>
    <row r="1509" spans="1:10" x14ac:dyDescent="0.2">
      <c r="A1509" s="1" t="s">
        <v>4457</v>
      </c>
      <c r="B1509" s="1" t="s">
        <v>4456</v>
      </c>
      <c r="C1509" s="1" t="s">
        <v>4455</v>
      </c>
      <c r="D1509" s="2" t="str">
        <f t="shared" si="23"/>
        <v>http://zfin.org/ZDB-GENE-030131-5417</v>
      </c>
      <c r="E1509" s="1" t="s">
        <v>4454</v>
      </c>
      <c r="F1509" s="1">
        <v>6.6932274174251001E-3</v>
      </c>
      <c r="G1509" s="1">
        <v>-0.25687613935536102</v>
      </c>
      <c r="H1509" s="1">
        <v>0.29799999999999999</v>
      </c>
      <c r="I1509" s="1">
        <v>0.35</v>
      </c>
      <c r="J1509" s="1">
        <v>2</v>
      </c>
    </row>
    <row r="1510" spans="1:10" x14ac:dyDescent="0.2">
      <c r="A1510" s="1" t="s">
        <v>4453</v>
      </c>
      <c r="B1510" s="1" t="s">
        <v>4452</v>
      </c>
      <c r="C1510" s="1" t="s">
        <v>4451</v>
      </c>
      <c r="D1510" s="2" t="str">
        <f t="shared" si="23"/>
        <v>http://zfin.org/ZDB-GENE-030131-2873</v>
      </c>
      <c r="E1510" s="1" t="s">
        <v>4450</v>
      </c>
      <c r="F1510" s="1">
        <v>2.0761798455103299E-4</v>
      </c>
      <c r="G1510" s="1">
        <v>-0.25685540633147202</v>
      </c>
      <c r="H1510" s="1">
        <v>0.52600000000000002</v>
      </c>
      <c r="I1510" s="1">
        <v>0.5</v>
      </c>
      <c r="J1510" s="1">
        <v>2</v>
      </c>
    </row>
    <row r="1511" spans="1:10" x14ac:dyDescent="0.2">
      <c r="A1511" s="1" t="s">
        <v>4449</v>
      </c>
      <c r="B1511" s="1" t="s">
        <v>4448</v>
      </c>
      <c r="C1511" s="1" t="s">
        <v>4447</v>
      </c>
      <c r="D1511" s="2" t="str">
        <f t="shared" si="23"/>
        <v>http://zfin.org/ZDB-GENE-030131-2167</v>
      </c>
      <c r="E1511" s="1" t="s">
        <v>4446</v>
      </c>
      <c r="F1511" s="1">
        <v>1.7592297306368802E-2</v>
      </c>
      <c r="G1511" s="1">
        <v>-0.256010603225859</v>
      </c>
      <c r="H1511" s="1">
        <v>0.246</v>
      </c>
      <c r="I1511" s="1">
        <v>0.38300000000000001</v>
      </c>
      <c r="J1511" s="1">
        <v>2</v>
      </c>
    </row>
    <row r="1512" spans="1:10" x14ac:dyDescent="0.2">
      <c r="A1512" s="1" t="s">
        <v>4445</v>
      </c>
      <c r="B1512" s="1" t="s">
        <v>4444</v>
      </c>
      <c r="C1512" s="1" t="s">
        <v>4443</v>
      </c>
      <c r="D1512" s="2" t="str">
        <f t="shared" si="23"/>
        <v>http://zfin.org/ZDB-GENE-040426-2707</v>
      </c>
      <c r="E1512" s="1" t="s">
        <v>4442</v>
      </c>
      <c r="F1512" s="1">
        <v>2.4268919254404201E-3</v>
      </c>
      <c r="G1512" s="1">
        <v>-0.255960067010159</v>
      </c>
      <c r="H1512" s="1">
        <v>0.43</v>
      </c>
      <c r="I1512" s="1">
        <v>0.45</v>
      </c>
      <c r="J1512" s="1">
        <v>2</v>
      </c>
    </row>
    <row r="1513" spans="1:10" x14ac:dyDescent="0.2">
      <c r="A1513" s="1" t="s">
        <v>4441</v>
      </c>
      <c r="B1513" s="1" t="s">
        <v>4440</v>
      </c>
      <c r="C1513" s="1" t="s">
        <v>4439</v>
      </c>
      <c r="D1513" s="2" t="str">
        <f t="shared" si="23"/>
        <v>http://zfin.org/ZDB-GENE-040426-1467</v>
      </c>
      <c r="E1513" s="1" t="s">
        <v>4438</v>
      </c>
      <c r="F1513" s="1">
        <v>3.1002837585530798E-3</v>
      </c>
      <c r="G1513" s="1">
        <v>-0.25549164477767899</v>
      </c>
      <c r="H1513" s="1">
        <v>0.439</v>
      </c>
      <c r="I1513" s="1">
        <v>0.45</v>
      </c>
      <c r="J1513" s="1">
        <v>2</v>
      </c>
    </row>
    <row r="1514" spans="1:10" x14ac:dyDescent="0.2">
      <c r="A1514" s="1" t="s">
        <v>4437</v>
      </c>
      <c r="B1514" s="1" t="s">
        <v>4436</v>
      </c>
      <c r="C1514" s="1" t="s">
        <v>4435</v>
      </c>
      <c r="D1514" s="2" t="str">
        <f t="shared" si="23"/>
        <v>http://zfin.org/ZDB-GENE-040426-1378</v>
      </c>
      <c r="E1514" s="1" t="s">
        <v>4434</v>
      </c>
      <c r="F1514" s="1">
        <v>6.3392075035033496E-3</v>
      </c>
      <c r="G1514" s="1">
        <v>-0.25540363812905398</v>
      </c>
      <c r="H1514" s="1">
        <v>6.0999999999999999E-2</v>
      </c>
      <c r="I1514" s="1">
        <v>0.217</v>
      </c>
      <c r="J1514" s="1">
        <v>2</v>
      </c>
    </row>
    <row r="1515" spans="1:10" x14ac:dyDescent="0.2">
      <c r="A1515" s="1" t="s">
        <v>3091</v>
      </c>
      <c r="B1515" s="1" t="s">
        <v>3090</v>
      </c>
      <c r="C1515" s="1" t="s">
        <v>3089</v>
      </c>
      <c r="D1515" s="2" t="str">
        <f t="shared" si="23"/>
        <v>http://zfin.org/ZDB-GENE-030131-3694</v>
      </c>
      <c r="E1515" s="1" t="s">
        <v>4433</v>
      </c>
      <c r="F1515" s="1">
        <v>0.118341338045215</v>
      </c>
      <c r="G1515" s="1">
        <v>-0.255167145336337</v>
      </c>
      <c r="H1515" s="1">
        <v>4.3999999999999997E-2</v>
      </c>
      <c r="I1515" s="1">
        <v>0.11700000000000001</v>
      </c>
      <c r="J1515" s="1">
        <v>2</v>
      </c>
    </row>
    <row r="1516" spans="1:10" x14ac:dyDescent="0.2">
      <c r="A1516" s="1" t="s">
        <v>4432</v>
      </c>
      <c r="B1516" s="1" t="s">
        <v>4431</v>
      </c>
      <c r="C1516" s="1" t="s">
        <v>4430</v>
      </c>
      <c r="D1516" s="2" t="str">
        <f t="shared" si="23"/>
        <v>http://zfin.org/ZDB-GENE-040426-1698</v>
      </c>
      <c r="E1516" s="1" t="s">
        <v>4429</v>
      </c>
      <c r="F1516" s="1">
        <v>2.0594285173958799E-3</v>
      </c>
      <c r="G1516" s="1">
        <v>-0.25495742405848298</v>
      </c>
      <c r="H1516" s="1">
        <v>0.13200000000000001</v>
      </c>
      <c r="I1516" s="1">
        <v>0.217</v>
      </c>
      <c r="J1516" s="1">
        <v>2</v>
      </c>
    </row>
    <row r="1517" spans="1:10" x14ac:dyDescent="0.2">
      <c r="A1517" s="1" t="s">
        <v>4428</v>
      </c>
      <c r="B1517" s="1" t="s">
        <v>4427</v>
      </c>
      <c r="C1517" s="1" t="s">
        <v>4426</v>
      </c>
      <c r="D1517" s="2" t="str">
        <f t="shared" si="23"/>
        <v>http://zfin.org/ZDB-GENE-040426-774</v>
      </c>
      <c r="E1517" s="1" t="s">
        <v>4425</v>
      </c>
      <c r="F1517" s="1">
        <v>2.7978021872507801E-2</v>
      </c>
      <c r="G1517" s="1">
        <v>-0.25480468556275798</v>
      </c>
      <c r="H1517" s="1">
        <v>7.0000000000000007E-2</v>
      </c>
      <c r="I1517" s="1">
        <v>0.217</v>
      </c>
      <c r="J1517" s="1">
        <v>2</v>
      </c>
    </row>
    <row r="1518" spans="1:10" x14ac:dyDescent="0.2">
      <c r="A1518" s="1" t="s">
        <v>4424</v>
      </c>
      <c r="B1518" s="1" t="s">
        <v>4423</v>
      </c>
      <c r="C1518" s="1" t="s">
        <v>4422</v>
      </c>
      <c r="D1518" s="2" t="str">
        <f t="shared" si="23"/>
        <v>http://zfin.org/ZDB-GENE-081107-29</v>
      </c>
      <c r="E1518" s="1" t="s">
        <v>4421</v>
      </c>
      <c r="F1518" s="1">
        <v>2.7520330469851398E-3</v>
      </c>
      <c r="G1518" s="1">
        <v>-0.25458912194314198</v>
      </c>
      <c r="H1518" s="1">
        <v>1.7999999999999999E-2</v>
      </c>
      <c r="I1518" s="1">
        <v>0.16700000000000001</v>
      </c>
      <c r="J1518" s="1">
        <v>2</v>
      </c>
    </row>
    <row r="1519" spans="1:10" x14ac:dyDescent="0.2">
      <c r="A1519" s="1" t="s">
        <v>4420</v>
      </c>
      <c r="B1519" s="1" t="s">
        <v>4419</v>
      </c>
      <c r="C1519" s="1" t="s">
        <v>4418</v>
      </c>
      <c r="D1519" s="2" t="str">
        <f t="shared" si="23"/>
        <v>http://zfin.org/ZDB-GENE-050913-73</v>
      </c>
      <c r="E1519" s="1" t="s">
        <v>4417</v>
      </c>
      <c r="F1519" s="1">
        <v>7.3538971839381698E-2</v>
      </c>
      <c r="G1519" s="1">
        <v>-0.25453533164257902</v>
      </c>
      <c r="H1519" s="1">
        <v>0.26300000000000001</v>
      </c>
      <c r="I1519" s="1">
        <v>0.45</v>
      </c>
      <c r="J1519" s="1">
        <v>2</v>
      </c>
    </row>
    <row r="1520" spans="1:10" x14ac:dyDescent="0.2">
      <c r="A1520" s="1" t="s">
        <v>2453</v>
      </c>
      <c r="B1520" s="1" t="s">
        <v>2452</v>
      </c>
      <c r="C1520" s="1" t="s">
        <v>2451</v>
      </c>
      <c r="D1520" s="2" t="str">
        <f t="shared" si="23"/>
        <v>http://zfin.org/ZDB-GENE-030131-8247</v>
      </c>
      <c r="E1520" s="1" t="s">
        <v>4416</v>
      </c>
      <c r="F1520" s="1">
        <v>1.6176162884558701E-2</v>
      </c>
      <c r="G1520" s="1">
        <v>-0.254331471617738</v>
      </c>
      <c r="H1520" s="1">
        <v>0.68400000000000005</v>
      </c>
      <c r="I1520" s="1">
        <v>0.68300000000000005</v>
      </c>
      <c r="J1520" s="1">
        <v>2</v>
      </c>
    </row>
    <row r="1521" spans="1:10" x14ac:dyDescent="0.2">
      <c r="A1521" s="1" t="s">
        <v>4415</v>
      </c>
      <c r="B1521" s="1" t="s">
        <v>4414</v>
      </c>
      <c r="C1521" s="1" t="s">
        <v>4413</v>
      </c>
      <c r="D1521" s="2" t="str">
        <f t="shared" si="23"/>
        <v>http://zfin.org/ZDB-GENE-030804-15</v>
      </c>
      <c r="E1521" s="1" t="s">
        <v>4412</v>
      </c>
      <c r="F1521" s="1">
        <v>4.0759674713727904E-3</v>
      </c>
      <c r="G1521" s="1">
        <v>-0.25425010346409199</v>
      </c>
      <c r="H1521" s="1">
        <v>0.219</v>
      </c>
      <c r="I1521" s="1">
        <v>0.33300000000000002</v>
      </c>
      <c r="J1521" s="1">
        <v>2</v>
      </c>
    </row>
    <row r="1522" spans="1:10" x14ac:dyDescent="0.2">
      <c r="A1522" s="1" t="s">
        <v>4027</v>
      </c>
      <c r="B1522" s="1" t="s">
        <v>4026</v>
      </c>
      <c r="C1522" s="1" t="s">
        <v>4025</v>
      </c>
      <c r="D1522" s="2" t="str">
        <f t="shared" si="23"/>
        <v>http://zfin.org/ZDB-GENE-021206-1</v>
      </c>
      <c r="E1522" s="1" t="s">
        <v>4411</v>
      </c>
      <c r="F1522" s="1">
        <v>3.5274187965883302E-2</v>
      </c>
      <c r="G1522" s="1">
        <v>-0.25386789344425698</v>
      </c>
      <c r="H1522" s="1">
        <v>0.123</v>
      </c>
      <c r="I1522" s="1">
        <v>0.2</v>
      </c>
      <c r="J1522" s="1">
        <v>2</v>
      </c>
    </row>
    <row r="1523" spans="1:10" x14ac:dyDescent="0.2">
      <c r="A1523" s="1" t="s">
        <v>4410</v>
      </c>
      <c r="B1523" s="1" t="s">
        <v>4409</v>
      </c>
      <c r="C1523" s="1" t="s">
        <v>4408</v>
      </c>
      <c r="D1523" s="2" t="str">
        <f t="shared" si="23"/>
        <v>http://zfin.org/ZDB-GENE-040426-715</v>
      </c>
      <c r="E1523" s="1" t="s">
        <v>4407</v>
      </c>
      <c r="F1523" s="1">
        <v>5.1889456031273598E-4</v>
      </c>
      <c r="G1523" s="1">
        <v>-0.25380412873191799</v>
      </c>
      <c r="H1523" s="1">
        <v>0.158</v>
      </c>
      <c r="I1523" s="1">
        <v>0.26700000000000002</v>
      </c>
      <c r="J1523" s="1">
        <v>2</v>
      </c>
    </row>
    <row r="1524" spans="1:10" x14ac:dyDescent="0.2">
      <c r="A1524" s="1" t="s">
        <v>4406</v>
      </c>
      <c r="B1524" s="1" t="s">
        <v>4405</v>
      </c>
      <c r="C1524" s="1" t="s">
        <v>4404</v>
      </c>
      <c r="D1524" s="2" t="str">
        <f t="shared" si="23"/>
        <v>http://zfin.org/ZDB-GENE-061110-82</v>
      </c>
      <c r="E1524" s="1" t="s">
        <v>4403</v>
      </c>
      <c r="F1524" s="1">
        <v>6.9691771636088903E-2</v>
      </c>
      <c r="G1524" s="1">
        <v>-0.25360676145505301</v>
      </c>
      <c r="H1524" s="1">
        <v>0.17499999999999999</v>
      </c>
      <c r="I1524" s="1">
        <v>0.33300000000000002</v>
      </c>
      <c r="J1524" s="1">
        <v>2</v>
      </c>
    </row>
    <row r="1525" spans="1:10" x14ac:dyDescent="0.2">
      <c r="A1525" s="1" t="s">
        <v>4402</v>
      </c>
      <c r="B1525" s="1" t="s">
        <v>4401</v>
      </c>
      <c r="C1525" s="1" t="s">
        <v>4400</v>
      </c>
      <c r="D1525" s="2" t="str">
        <f t="shared" si="23"/>
        <v>http://zfin.org/ZDB-GENE-050220-12</v>
      </c>
      <c r="E1525" s="1" t="s">
        <v>4399</v>
      </c>
      <c r="F1525" s="1">
        <v>2.94334942398729E-2</v>
      </c>
      <c r="G1525" s="1">
        <v>-0.25353419715131997</v>
      </c>
      <c r="H1525" s="1">
        <v>0.49099999999999999</v>
      </c>
      <c r="I1525" s="1">
        <v>0.58299999999999996</v>
      </c>
      <c r="J1525" s="1">
        <v>2</v>
      </c>
    </row>
    <row r="1526" spans="1:10" x14ac:dyDescent="0.2">
      <c r="A1526" s="1" t="s">
        <v>4398</v>
      </c>
      <c r="B1526" s="1" t="s">
        <v>4397</v>
      </c>
      <c r="C1526" s="1" t="s">
        <v>4396</v>
      </c>
      <c r="D1526" s="2" t="str">
        <f t="shared" si="23"/>
        <v>http://zfin.org/ZDB-GENE-030131-1959</v>
      </c>
      <c r="E1526" s="1" t="s">
        <v>4395</v>
      </c>
      <c r="F1526" s="1">
        <v>7.5491069983463297E-4</v>
      </c>
      <c r="G1526" s="1">
        <v>-0.25319623777978401</v>
      </c>
      <c r="H1526" s="1">
        <v>1.7999999999999999E-2</v>
      </c>
      <c r="I1526" s="1">
        <v>0.15</v>
      </c>
      <c r="J1526" s="1">
        <v>2</v>
      </c>
    </row>
    <row r="1527" spans="1:10" x14ac:dyDescent="0.2">
      <c r="A1527" s="1" t="s">
        <v>3749</v>
      </c>
      <c r="B1527" s="1" t="s">
        <v>3748</v>
      </c>
      <c r="C1527" s="1" t="s">
        <v>3747</v>
      </c>
      <c r="D1527" s="2" t="str">
        <f t="shared" si="23"/>
        <v>http://zfin.org/ZDB-GENE-030515-2</v>
      </c>
      <c r="E1527" s="1" t="s">
        <v>4394</v>
      </c>
      <c r="F1527" s="1">
        <v>2.0305051575082299E-2</v>
      </c>
      <c r="G1527" s="1">
        <v>-0.25278115541787799</v>
      </c>
      <c r="H1527" s="1">
        <v>8.7999999999999995E-2</v>
      </c>
      <c r="I1527" s="1">
        <v>0.2</v>
      </c>
      <c r="J1527" s="1">
        <v>2</v>
      </c>
    </row>
    <row r="1528" spans="1:10" x14ac:dyDescent="0.2">
      <c r="A1528" s="1" t="s">
        <v>4393</v>
      </c>
      <c r="B1528" s="1" t="s">
        <v>4392</v>
      </c>
      <c r="C1528" s="1" t="s">
        <v>4391</v>
      </c>
      <c r="D1528" s="2" t="str">
        <f t="shared" si="23"/>
        <v>http://zfin.org/ZDB-GENE-040426-1609</v>
      </c>
      <c r="E1528" s="1" t="s">
        <v>4390</v>
      </c>
      <c r="F1528" s="1">
        <v>2.6935415191291001E-2</v>
      </c>
      <c r="G1528" s="1">
        <v>-0.25265723560301001</v>
      </c>
      <c r="H1528" s="1">
        <v>0.219</v>
      </c>
      <c r="I1528" s="1">
        <v>0.35</v>
      </c>
      <c r="J1528" s="1">
        <v>2</v>
      </c>
    </row>
    <row r="1529" spans="1:10" x14ac:dyDescent="0.2">
      <c r="A1529" s="1" t="s">
        <v>3324</v>
      </c>
      <c r="B1529" s="1" t="s">
        <v>3323</v>
      </c>
      <c r="C1529" s="1" t="s">
        <v>3322</v>
      </c>
      <c r="D1529" s="2" t="str">
        <f t="shared" si="23"/>
        <v>http://zfin.org/ZDB-GENE-050809-3</v>
      </c>
      <c r="E1529" s="1" t="s">
        <v>4389</v>
      </c>
      <c r="F1529" s="1">
        <v>8.2755375542761106E-3</v>
      </c>
      <c r="G1529" s="1">
        <v>-0.25258044684514602</v>
      </c>
      <c r="H1529" s="1">
        <v>0.13200000000000001</v>
      </c>
      <c r="I1529" s="1">
        <v>0.25</v>
      </c>
      <c r="J1529" s="1">
        <v>2</v>
      </c>
    </row>
    <row r="1530" spans="1:10" x14ac:dyDescent="0.2">
      <c r="A1530" s="1" t="s">
        <v>4388</v>
      </c>
      <c r="B1530" s="1" t="s">
        <v>4387</v>
      </c>
      <c r="C1530" s="1" t="s">
        <v>4386</v>
      </c>
      <c r="D1530" s="2" t="str">
        <f t="shared" si="23"/>
        <v>http://zfin.org/ZDB-GENE-040426-863</v>
      </c>
      <c r="E1530" s="1" t="s">
        <v>4385</v>
      </c>
      <c r="F1530" s="1">
        <v>6.0387480864335902E-2</v>
      </c>
      <c r="G1530" s="1">
        <v>-0.252432508675349</v>
      </c>
      <c r="H1530" s="1">
        <v>0.105</v>
      </c>
      <c r="I1530" s="1">
        <v>0.15</v>
      </c>
      <c r="J1530" s="1">
        <v>2</v>
      </c>
    </row>
    <row r="1531" spans="1:10" x14ac:dyDescent="0.2">
      <c r="A1531" s="1" t="s">
        <v>1573</v>
      </c>
      <c r="B1531" s="1" t="s">
        <v>1572</v>
      </c>
      <c r="C1531" s="1" t="s">
        <v>1571</v>
      </c>
      <c r="D1531" s="2" t="str">
        <f t="shared" si="23"/>
        <v>http://zfin.org/ZDB-GENE-041010-210</v>
      </c>
      <c r="E1531" s="1" t="s">
        <v>4384</v>
      </c>
      <c r="F1531" s="1">
        <v>5.0181843929720301E-3</v>
      </c>
      <c r="G1531" s="1">
        <v>-0.25233080244574102</v>
      </c>
      <c r="H1531" s="1">
        <v>0.123</v>
      </c>
      <c r="I1531" s="1">
        <v>0.3</v>
      </c>
      <c r="J1531" s="1">
        <v>2</v>
      </c>
    </row>
    <row r="1532" spans="1:10" x14ac:dyDescent="0.2">
      <c r="A1532" s="1" t="s">
        <v>4383</v>
      </c>
      <c r="B1532" s="1" t="s">
        <v>4382</v>
      </c>
      <c r="C1532" s="1" t="s">
        <v>4381</v>
      </c>
      <c r="D1532" s="2" t="str">
        <f t="shared" si="23"/>
        <v>http://zfin.org/ZDB-GENE-030131-7336</v>
      </c>
      <c r="E1532" s="1" t="s">
        <v>4380</v>
      </c>
      <c r="F1532" s="1">
        <v>4.84290356989674E-3</v>
      </c>
      <c r="G1532" s="1">
        <v>-0.252148100244521</v>
      </c>
      <c r="H1532" s="1">
        <v>0.86</v>
      </c>
      <c r="I1532" s="1">
        <v>0.81699999999999995</v>
      </c>
      <c r="J1532" s="1">
        <v>2</v>
      </c>
    </row>
    <row r="1533" spans="1:10" x14ac:dyDescent="0.2">
      <c r="A1533" s="1" t="s">
        <v>2206</v>
      </c>
      <c r="B1533" s="1" t="s">
        <v>2205</v>
      </c>
      <c r="C1533" s="1" t="s">
        <v>2204</v>
      </c>
      <c r="D1533" s="2" t="str">
        <f t="shared" si="23"/>
        <v>http://zfin.org/ZDB-GENE-060810-13</v>
      </c>
      <c r="E1533" s="1" t="s">
        <v>4379</v>
      </c>
      <c r="F1533" s="1">
        <v>3.3703314718431E-2</v>
      </c>
      <c r="G1533" s="1">
        <v>-0.251918866425351</v>
      </c>
      <c r="H1533" s="1">
        <v>8.9999999999999993E-3</v>
      </c>
      <c r="I1533" s="1">
        <v>0.11700000000000001</v>
      </c>
      <c r="J1533" s="1">
        <v>2</v>
      </c>
    </row>
    <row r="1534" spans="1:10" x14ac:dyDescent="0.2">
      <c r="A1534" s="1" t="s">
        <v>2729</v>
      </c>
      <c r="B1534" s="1" t="s">
        <v>2728</v>
      </c>
      <c r="C1534" s="1" t="s">
        <v>2727</v>
      </c>
      <c r="D1534" s="2" t="str">
        <f t="shared" si="23"/>
        <v>http://zfin.org/ZDB-GENE-020228-2</v>
      </c>
      <c r="E1534" s="1" t="s">
        <v>4378</v>
      </c>
      <c r="F1534" s="3">
        <v>4.6188768585863999E-5</v>
      </c>
      <c r="G1534" s="1">
        <v>-0.25187180339111798</v>
      </c>
      <c r="H1534" s="1">
        <v>0.34200000000000003</v>
      </c>
      <c r="I1534" s="1">
        <v>0.317</v>
      </c>
      <c r="J1534" s="1">
        <v>2</v>
      </c>
    </row>
    <row r="1535" spans="1:10" x14ac:dyDescent="0.2">
      <c r="A1535" s="1" t="s">
        <v>1311</v>
      </c>
      <c r="B1535" s="1" t="s">
        <v>1310</v>
      </c>
      <c r="C1535" s="1" t="s">
        <v>1309</v>
      </c>
      <c r="D1535" s="2" t="str">
        <f t="shared" si="23"/>
        <v>http://zfin.org/ZDB-GENE-000328-3</v>
      </c>
      <c r="E1535" s="1" t="s">
        <v>4377</v>
      </c>
      <c r="F1535" s="1">
        <v>8.7216852681685001E-4</v>
      </c>
      <c r="G1535" s="1">
        <v>-0.250997020689189</v>
      </c>
      <c r="H1535" s="1">
        <v>7.0000000000000007E-2</v>
      </c>
      <c r="I1535" s="1">
        <v>0.11700000000000001</v>
      </c>
      <c r="J1535" s="1">
        <v>2</v>
      </c>
    </row>
    <row r="1536" spans="1:10" x14ac:dyDescent="0.2">
      <c r="A1536" s="1" t="s">
        <v>4376</v>
      </c>
      <c r="B1536" s="1" t="s">
        <v>4375</v>
      </c>
      <c r="C1536" s="1" t="s">
        <v>4374</v>
      </c>
      <c r="D1536" s="2" t="str">
        <f t="shared" si="23"/>
        <v>http://zfin.org/ZDB-GENE-030131-2172</v>
      </c>
      <c r="E1536" s="1" t="s">
        <v>4373</v>
      </c>
      <c r="F1536" s="1">
        <v>2.17387853362567E-2</v>
      </c>
      <c r="G1536" s="1">
        <v>-0.25075599874066601</v>
      </c>
      <c r="H1536" s="1">
        <v>0.377</v>
      </c>
      <c r="I1536" s="1">
        <v>0.41699999999999998</v>
      </c>
      <c r="J1536" s="1">
        <v>2</v>
      </c>
    </row>
    <row r="1537" spans="1:10" x14ac:dyDescent="0.2">
      <c r="A1537" s="1" t="s">
        <v>4372</v>
      </c>
      <c r="B1537" s="1" t="s">
        <v>4371</v>
      </c>
      <c r="C1537" s="1" t="s">
        <v>4370</v>
      </c>
      <c r="D1537" s="2" t="str">
        <f t="shared" si="23"/>
        <v>http://zfin.org/ZDB-GENE-050320-35</v>
      </c>
      <c r="E1537" s="1" t="s">
        <v>4369</v>
      </c>
      <c r="F1537" s="1">
        <v>0.118093647551827</v>
      </c>
      <c r="G1537" s="1">
        <v>-0.25073842208448899</v>
      </c>
      <c r="H1537" s="1">
        <v>0.69299999999999995</v>
      </c>
      <c r="I1537" s="1">
        <v>0.65</v>
      </c>
      <c r="J1537" s="1">
        <v>2</v>
      </c>
    </row>
    <row r="1538" spans="1:10" x14ac:dyDescent="0.2">
      <c r="A1538" s="1" t="s">
        <v>4368</v>
      </c>
      <c r="B1538" s="1" t="s">
        <v>4367</v>
      </c>
      <c r="C1538" s="1" t="s">
        <v>4366</v>
      </c>
      <c r="D1538" s="2" t="str">
        <f t="shared" ref="D1538:D1541" si="24">HYPERLINK(E1538)</f>
        <v>http://zfin.org/ZDB-GENE-060825-75</v>
      </c>
      <c r="E1538" s="1" t="s">
        <v>4365</v>
      </c>
      <c r="F1538" s="1">
        <v>7.1062784111681696E-4</v>
      </c>
      <c r="G1538" s="1">
        <v>-0.250515998141077</v>
      </c>
      <c r="H1538" s="1">
        <v>0.377</v>
      </c>
      <c r="I1538" s="1">
        <v>0.433</v>
      </c>
      <c r="J1538" s="1">
        <v>2</v>
      </c>
    </row>
    <row r="1539" spans="1:10" x14ac:dyDescent="0.2">
      <c r="A1539" s="1" t="s">
        <v>4364</v>
      </c>
      <c r="B1539" s="1" t="s">
        <v>4363</v>
      </c>
      <c r="C1539" s="1" t="s">
        <v>4362</v>
      </c>
      <c r="D1539" s="2" t="str">
        <f t="shared" si="24"/>
        <v>http://zfin.org/ZDB-GENE-040426-2691</v>
      </c>
      <c r="E1539" s="1" t="s">
        <v>4361</v>
      </c>
      <c r="F1539" s="1">
        <v>1.31659425611064E-3</v>
      </c>
      <c r="G1539" s="1">
        <v>-0.25044499201602799</v>
      </c>
      <c r="H1539" s="1">
        <v>0.16700000000000001</v>
      </c>
      <c r="I1539" s="1">
        <v>0.26700000000000002</v>
      </c>
      <c r="J1539" s="1">
        <v>2</v>
      </c>
    </row>
    <row r="1540" spans="1:10" x14ac:dyDescent="0.2">
      <c r="A1540" s="1" t="s">
        <v>4360</v>
      </c>
      <c r="B1540" s="1" t="s">
        <v>4359</v>
      </c>
      <c r="C1540" s="1" t="s">
        <v>4358</v>
      </c>
      <c r="D1540" s="2" t="str">
        <f t="shared" si="24"/>
        <v>http://zfin.org/ZDB-GENE-030131-6069</v>
      </c>
      <c r="E1540" s="1" t="s">
        <v>4357</v>
      </c>
      <c r="F1540" s="1">
        <v>3.3456484513124701E-3</v>
      </c>
      <c r="G1540" s="1">
        <v>-0.25001639327063602</v>
      </c>
      <c r="H1540" s="1">
        <v>0.27200000000000002</v>
      </c>
      <c r="I1540" s="1">
        <v>0.3</v>
      </c>
      <c r="J1540" s="1">
        <v>2</v>
      </c>
    </row>
    <row r="1541" spans="1:10" x14ac:dyDescent="0.2">
      <c r="D1541" s="2" t="str">
        <f t="shared" si="24"/>
        <v/>
      </c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B0326-C419-A540-A622-CA374C27CE7A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40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6.5962295072381897E-109</v>
      </c>
      <c r="B2">
        <v>1.98921669301379</v>
      </c>
      <c r="C2">
        <v>0.747</v>
      </c>
      <c r="D2">
        <v>0.1</v>
      </c>
      <c r="E2">
        <v>1.02129421460569E-104</v>
      </c>
      <c r="F2" t="s">
        <v>1298</v>
      </c>
      <c r="G2" t="s">
        <v>1299</v>
      </c>
      <c r="H2" t="s">
        <v>1298</v>
      </c>
      <c r="I2" t="str">
        <f>HYPERLINK("https://zfin.org/ZDB-GENE-070502-5")</f>
        <v>https://zfin.org/ZDB-GENE-070502-5</v>
      </c>
      <c r="J2" t="s">
        <v>1297</v>
      </c>
    </row>
    <row r="3" spans="1:10" x14ac:dyDescent="0.2">
      <c r="A3">
        <v>3.0405792691457498E-88</v>
      </c>
      <c r="B3">
        <v>1.6950914068518801</v>
      </c>
      <c r="C3">
        <v>0.95099999999999996</v>
      </c>
      <c r="D3">
        <v>0.4</v>
      </c>
      <c r="E3">
        <v>4.7077288824183597E-84</v>
      </c>
      <c r="F3" t="s">
        <v>1295</v>
      </c>
      <c r="G3" t="s">
        <v>1296</v>
      </c>
      <c r="H3" t="s">
        <v>1295</v>
      </c>
      <c r="I3" t="str">
        <f>HYPERLINK("https://zfin.org/ZDB-GENE-011212-6")</f>
        <v>https://zfin.org/ZDB-GENE-011212-6</v>
      </c>
      <c r="J3" t="s">
        <v>1294</v>
      </c>
    </row>
    <row r="4" spans="1:10" x14ac:dyDescent="0.2">
      <c r="A4">
        <v>3.2310626146378999E-88</v>
      </c>
      <c r="B4">
        <v>1.9232274986069999</v>
      </c>
      <c r="C4">
        <v>0.98899999999999999</v>
      </c>
      <c r="D4">
        <v>0.81200000000000006</v>
      </c>
      <c r="E4">
        <v>5.0026542462438595E-84</v>
      </c>
      <c r="F4" t="s">
        <v>204</v>
      </c>
      <c r="G4" t="s">
        <v>205</v>
      </c>
      <c r="H4" t="s">
        <v>204</v>
      </c>
      <c r="I4" t="str">
        <f>HYPERLINK("https://zfin.org/")</f>
        <v>https://zfin.org/</v>
      </c>
      <c r="J4" t="s">
        <v>206</v>
      </c>
    </row>
    <row r="5" spans="1:10" x14ac:dyDescent="0.2">
      <c r="A5">
        <v>4.8544823852667796E-66</v>
      </c>
      <c r="B5">
        <v>2.06062924819327</v>
      </c>
      <c r="C5">
        <v>0.52700000000000002</v>
      </c>
      <c r="D5">
        <v>8.1000000000000003E-2</v>
      </c>
      <c r="E5">
        <v>7.5161950771085603E-62</v>
      </c>
      <c r="F5" t="s">
        <v>1292</v>
      </c>
      <c r="G5" t="s">
        <v>1293</v>
      </c>
      <c r="H5" t="s">
        <v>1292</v>
      </c>
      <c r="I5" t="str">
        <f>HYPERLINK("https://zfin.org/ZDB-GENE-041111-1")</f>
        <v>https://zfin.org/ZDB-GENE-041111-1</v>
      </c>
      <c r="J5" t="s">
        <v>1291</v>
      </c>
    </row>
    <row r="6" spans="1:10" x14ac:dyDescent="0.2">
      <c r="A6">
        <v>3.7261319064983203E-63</v>
      </c>
      <c r="B6">
        <v>1.33786329033764</v>
      </c>
      <c r="C6">
        <v>0.46200000000000002</v>
      </c>
      <c r="D6">
        <v>5.6000000000000001E-2</v>
      </c>
      <c r="E6">
        <v>5.7691700308313502E-59</v>
      </c>
      <c r="F6" t="s">
        <v>1289</v>
      </c>
      <c r="G6" t="s">
        <v>1290</v>
      </c>
      <c r="H6" t="s">
        <v>1289</v>
      </c>
      <c r="I6" t="str">
        <f>HYPERLINK("https://zfin.org/ZDB-GENE-081104-326")</f>
        <v>https://zfin.org/ZDB-GENE-081104-326</v>
      </c>
      <c r="J6" t="s">
        <v>1288</v>
      </c>
    </row>
    <row r="7" spans="1:10" x14ac:dyDescent="0.2">
      <c r="A7">
        <v>1.78986089343768E-60</v>
      </c>
      <c r="B7">
        <v>1.227405075641</v>
      </c>
      <c r="C7">
        <v>0.34599999999999997</v>
      </c>
      <c r="D7">
        <v>2.4E-2</v>
      </c>
      <c r="E7">
        <v>2.7712416213095502E-56</v>
      </c>
      <c r="F7" t="s">
        <v>1286</v>
      </c>
      <c r="G7" t="s">
        <v>1287</v>
      </c>
      <c r="H7" t="s">
        <v>1286</v>
      </c>
      <c r="I7" t="str">
        <f>HYPERLINK("https://zfin.org/ZDB-GENE-040718-335")</f>
        <v>https://zfin.org/ZDB-GENE-040718-335</v>
      </c>
      <c r="J7" t="s">
        <v>1285</v>
      </c>
    </row>
    <row r="8" spans="1:10" x14ac:dyDescent="0.2">
      <c r="A8">
        <v>1.0456875778060799E-53</v>
      </c>
      <c r="B8">
        <v>1.49520822988088</v>
      </c>
      <c r="C8">
        <v>0.47299999999999998</v>
      </c>
      <c r="D8">
        <v>7.8E-2</v>
      </c>
      <c r="E8">
        <v>1.61903807671716E-49</v>
      </c>
      <c r="F8" t="s">
        <v>1283</v>
      </c>
      <c r="G8" t="s">
        <v>1284</v>
      </c>
      <c r="H8" t="s">
        <v>1283</v>
      </c>
      <c r="I8" t="str">
        <f>HYPERLINK("https://zfin.org/ZDB-GENE-060503-475")</f>
        <v>https://zfin.org/ZDB-GENE-060503-475</v>
      </c>
      <c r="J8" t="s">
        <v>1282</v>
      </c>
    </row>
    <row r="9" spans="1:10" x14ac:dyDescent="0.2">
      <c r="A9">
        <v>4.54099382345531E-53</v>
      </c>
      <c r="B9">
        <v>0.71269242135316202</v>
      </c>
      <c r="C9">
        <v>1</v>
      </c>
      <c r="D9">
        <v>1</v>
      </c>
      <c r="E9">
        <v>7.0308207368558599E-49</v>
      </c>
      <c r="F9" t="s">
        <v>830</v>
      </c>
      <c r="G9" t="s">
        <v>831</v>
      </c>
      <c r="H9" t="s">
        <v>830</v>
      </c>
      <c r="I9" t="str">
        <f>HYPERLINK("https://zfin.org/ZDB-GENE-030805-3")</f>
        <v>https://zfin.org/ZDB-GENE-030805-3</v>
      </c>
      <c r="J9" t="s">
        <v>829</v>
      </c>
    </row>
    <row r="10" spans="1:10" x14ac:dyDescent="0.2">
      <c r="A10">
        <v>4.5362595934634001E-49</v>
      </c>
      <c r="B10">
        <v>0.67504183544336105</v>
      </c>
      <c r="C10">
        <v>1</v>
      </c>
      <c r="D10">
        <v>1</v>
      </c>
      <c r="E10">
        <v>7.0234907285593795E-45</v>
      </c>
      <c r="F10" t="s">
        <v>22</v>
      </c>
      <c r="G10" t="s">
        <v>23</v>
      </c>
      <c r="H10" t="s">
        <v>22</v>
      </c>
      <c r="I10" t="str">
        <f>HYPERLINK("https://zfin.org/ZDB-GENE-141216-248")</f>
        <v>https://zfin.org/ZDB-GENE-141216-248</v>
      </c>
      <c r="J10" t="s">
        <v>24</v>
      </c>
    </row>
    <row r="11" spans="1:10" x14ac:dyDescent="0.2">
      <c r="A11">
        <v>3.11955608585166E-48</v>
      </c>
      <c r="B11">
        <v>1.4004571952648901</v>
      </c>
      <c r="C11">
        <v>0.33</v>
      </c>
      <c r="D11">
        <v>3.3000000000000002E-2</v>
      </c>
      <c r="E11">
        <v>4.83000868772413E-44</v>
      </c>
      <c r="F11" t="s">
        <v>1280</v>
      </c>
      <c r="G11" t="s">
        <v>1281</v>
      </c>
      <c r="H11" t="s">
        <v>1280</v>
      </c>
      <c r="I11" t="str">
        <f>HYPERLINK("https://zfin.org/ZDB-GENE-010328-5")</f>
        <v>https://zfin.org/ZDB-GENE-010328-5</v>
      </c>
      <c r="J11" t="s">
        <v>1279</v>
      </c>
    </row>
    <row r="12" spans="1:10" x14ac:dyDescent="0.2">
      <c r="A12">
        <v>1.5566896418521799E-46</v>
      </c>
      <c r="B12">
        <v>1.8728239284446799</v>
      </c>
      <c r="C12">
        <v>0.34599999999999997</v>
      </c>
      <c r="D12">
        <v>4.2000000000000003E-2</v>
      </c>
      <c r="E12">
        <v>2.4102225724797199E-42</v>
      </c>
      <c r="F12" t="s">
        <v>1277</v>
      </c>
      <c r="G12" t="s">
        <v>1278</v>
      </c>
      <c r="H12" t="s">
        <v>1277</v>
      </c>
      <c r="I12" t="str">
        <f>HYPERLINK("https://zfin.org/ZDB-GENE-050208-336")</f>
        <v>https://zfin.org/ZDB-GENE-050208-336</v>
      </c>
      <c r="J12" t="s">
        <v>1276</v>
      </c>
    </row>
    <row r="13" spans="1:10" x14ac:dyDescent="0.2">
      <c r="A13">
        <v>9.5370561002028605E-46</v>
      </c>
      <c r="B13">
        <v>1.3272491202424599</v>
      </c>
      <c r="C13">
        <v>0.84099999999999997</v>
      </c>
      <c r="D13">
        <v>0.54100000000000004</v>
      </c>
      <c r="E13">
        <v>1.4766223959944099E-41</v>
      </c>
      <c r="F13" t="s">
        <v>1274</v>
      </c>
      <c r="G13" t="s">
        <v>1275</v>
      </c>
      <c r="H13" t="s">
        <v>1274</v>
      </c>
      <c r="I13" t="str">
        <f>HYPERLINK("https://zfin.org/ZDB-GENE-031016-2")</f>
        <v>https://zfin.org/ZDB-GENE-031016-2</v>
      </c>
      <c r="J13" t="s">
        <v>1273</v>
      </c>
    </row>
    <row r="14" spans="1:10" x14ac:dyDescent="0.2">
      <c r="A14">
        <v>1.19258654450739E-42</v>
      </c>
      <c r="B14">
        <v>1.4023813330731101</v>
      </c>
      <c r="C14">
        <v>0.40699999999999997</v>
      </c>
      <c r="D14">
        <v>7.1999999999999995E-2</v>
      </c>
      <c r="E14">
        <v>1.84648174686079E-38</v>
      </c>
      <c r="F14" t="s">
        <v>1271</v>
      </c>
      <c r="G14" t="s">
        <v>1272</v>
      </c>
      <c r="H14" t="s">
        <v>1271</v>
      </c>
      <c r="I14" t="str">
        <f>HYPERLINK("https://zfin.org/ZDB-GENE-081104-210")</f>
        <v>https://zfin.org/ZDB-GENE-081104-210</v>
      </c>
      <c r="J14" t="s">
        <v>1270</v>
      </c>
    </row>
    <row r="15" spans="1:10" x14ac:dyDescent="0.2">
      <c r="A15">
        <v>2.1968914057909501E-40</v>
      </c>
      <c r="B15">
        <v>0.55304801482883503</v>
      </c>
      <c r="C15">
        <v>0.995</v>
      </c>
      <c r="D15">
        <v>0.99399999999999999</v>
      </c>
      <c r="E15">
        <v>3.4014469635861302E-36</v>
      </c>
      <c r="F15" t="s">
        <v>25</v>
      </c>
      <c r="G15" t="s">
        <v>26</v>
      </c>
      <c r="H15" t="s">
        <v>25</v>
      </c>
      <c r="I15" t="str">
        <f>HYPERLINK("https://zfin.org/ZDB-GENE-040426-2209")</f>
        <v>https://zfin.org/ZDB-GENE-040426-2209</v>
      </c>
      <c r="J15" t="s">
        <v>27</v>
      </c>
    </row>
    <row r="16" spans="1:10" x14ac:dyDescent="0.2">
      <c r="A16">
        <v>3.4896207520511801E-40</v>
      </c>
      <c r="B16">
        <v>1.11302999566004</v>
      </c>
      <c r="C16">
        <v>0.40100000000000002</v>
      </c>
      <c r="D16">
        <v>7.4999999999999997E-2</v>
      </c>
      <c r="E16">
        <v>5.4029798104008397E-36</v>
      </c>
      <c r="F16" t="s">
        <v>1268</v>
      </c>
      <c r="G16" t="s">
        <v>1269</v>
      </c>
      <c r="H16" t="s">
        <v>1268</v>
      </c>
      <c r="I16" t="str">
        <f>HYPERLINK("https://zfin.org/ZDB-GENE-050417-175")</f>
        <v>https://zfin.org/ZDB-GENE-050417-175</v>
      </c>
      <c r="J16" t="s">
        <v>1267</v>
      </c>
    </row>
    <row r="17" spans="1:10" x14ac:dyDescent="0.2">
      <c r="A17">
        <v>1.5785145138906201E-35</v>
      </c>
      <c r="B17">
        <v>0.87513995505348896</v>
      </c>
      <c r="C17">
        <v>0.19800000000000001</v>
      </c>
      <c r="D17">
        <v>1.2E-2</v>
      </c>
      <c r="E17">
        <v>2.44401402185685E-31</v>
      </c>
      <c r="F17" t="s">
        <v>1265</v>
      </c>
      <c r="G17" t="s">
        <v>1266</v>
      </c>
      <c r="H17" t="s">
        <v>1265</v>
      </c>
      <c r="I17" t="str">
        <f>HYPERLINK("https://zfin.org/ZDB-GENE-030131-9242")</f>
        <v>https://zfin.org/ZDB-GENE-030131-9242</v>
      </c>
      <c r="J17" t="s">
        <v>1264</v>
      </c>
    </row>
    <row r="18" spans="1:10" x14ac:dyDescent="0.2">
      <c r="A18">
        <v>1.6757139614188E-34</v>
      </c>
      <c r="B18">
        <v>1.344989003352</v>
      </c>
      <c r="C18">
        <v>0.46200000000000002</v>
      </c>
      <c r="D18">
        <v>0.129</v>
      </c>
      <c r="E18">
        <v>2.5945079264647299E-30</v>
      </c>
      <c r="F18" t="s">
        <v>670</v>
      </c>
      <c r="G18" t="s">
        <v>671</v>
      </c>
      <c r="H18" t="s">
        <v>670</v>
      </c>
      <c r="I18" t="str">
        <f>HYPERLINK("https://zfin.org/ZDB-GENE-040319-2")</f>
        <v>https://zfin.org/ZDB-GENE-040319-2</v>
      </c>
      <c r="J18" t="s">
        <v>669</v>
      </c>
    </row>
    <row r="19" spans="1:10" x14ac:dyDescent="0.2">
      <c r="A19">
        <v>3.6614659147185599E-34</v>
      </c>
      <c r="B19">
        <v>0.78259511124901404</v>
      </c>
      <c r="C19">
        <v>0.26900000000000002</v>
      </c>
      <c r="D19">
        <v>3.3000000000000002E-2</v>
      </c>
      <c r="E19">
        <v>5.6690476757587503E-30</v>
      </c>
      <c r="F19" t="s">
        <v>1262</v>
      </c>
      <c r="G19" t="s">
        <v>1263</v>
      </c>
      <c r="H19" t="s">
        <v>1262</v>
      </c>
      <c r="I19" t="str">
        <f>HYPERLINK("https://zfin.org/ZDB-GENE-090218-29")</f>
        <v>https://zfin.org/ZDB-GENE-090218-29</v>
      </c>
      <c r="J19" t="s">
        <v>1261</v>
      </c>
    </row>
    <row r="20" spans="1:10" x14ac:dyDescent="0.2">
      <c r="A20">
        <v>1.3192656997263499E-33</v>
      </c>
      <c r="B20">
        <v>0.96207018396307498</v>
      </c>
      <c r="C20">
        <v>0.73599999999999999</v>
      </c>
      <c r="D20">
        <v>0.39700000000000002</v>
      </c>
      <c r="E20">
        <v>2.0426190828863099E-29</v>
      </c>
      <c r="F20" t="s">
        <v>1259</v>
      </c>
      <c r="G20" t="s">
        <v>1260</v>
      </c>
      <c r="H20" t="s">
        <v>1259</v>
      </c>
      <c r="I20" t="str">
        <f>HYPERLINK("https://zfin.org/ZDB-GENE-010606-1")</f>
        <v>https://zfin.org/ZDB-GENE-010606-1</v>
      </c>
      <c r="J20" t="s">
        <v>1258</v>
      </c>
    </row>
    <row r="21" spans="1:10" x14ac:dyDescent="0.2">
      <c r="A21">
        <v>7.5574244231584902E-33</v>
      </c>
      <c r="B21">
        <v>0.85434710292029103</v>
      </c>
      <c r="C21">
        <v>0.19800000000000001</v>
      </c>
      <c r="D21">
        <v>1.4999999999999999E-2</v>
      </c>
      <c r="E21">
        <v>1.1701160234376301E-28</v>
      </c>
      <c r="F21" t="s">
        <v>1256</v>
      </c>
      <c r="G21" t="s">
        <v>1257</v>
      </c>
      <c r="H21" t="s">
        <v>1256</v>
      </c>
      <c r="I21" t="str">
        <f>HYPERLINK("https://zfin.org/ZDB-GENE-030131-9839")</f>
        <v>https://zfin.org/ZDB-GENE-030131-9839</v>
      </c>
      <c r="J21" t="s">
        <v>1255</v>
      </c>
    </row>
    <row r="22" spans="1:10" x14ac:dyDescent="0.2">
      <c r="A22">
        <v>2.47918016228904E-32</v>
      </c>
      <c r="B22">
        <v>0.74739985018492705</v>
      </c>
      <c r="C22">
        <v>0.18099999999999999</v>
      </c>
      <c r="D22">
        <v>1.0999999999999999E-2</v>
      </c>
      <c r="E22">
        <v>3.8385146452721102E-28</v>
      </c>
      <c r="F22" t="s">
        <v>1253</v>
      </c>
      <c r="G22" t="s">
        <v>1254</v>
      </c>
      <c r="H22" t="s">
        <v>1253</v>
      </c>
      <c r="I22" t="str">
        <f>HYPERLINK("https://zfin.org/ZDB-GENE-040310-5")</f>
        <v>https://zfin.org/ZDB-GENE-040310-5</v>
      </c>
      <c r="J22" t="s">
        <v>1252</v>
      </c>
    </row>
    <row r="23" spans="1:10" x14ac:dyDescent="0.2">
      <c r="A23">
        <v>3.1223051166097599E-28</v>
      </c>
      <c r="B23">
        <v>0.54034615407905895</v>
      </c>
      <c r="C23">
        <v>0.97299999999999998</v>
      </c>
      <c r="D23">
        <v>0.95599999999999996</v>
      </c>
      <c r="E23">
        <v>4.8342650120468898E-24</v>
      </c>
      <c r="F23" t="s">
        <v>115</v>
      </c>
      <c r="G23" t="s">
        <v>116</v>
      </c>
      <c r="H23" t="s">
        <v>115</v>
      </c>
      <c r="I23" t="str">
        <f>HYPERLINK("https://zfin.org/ZDB-GENE-050208-726")</f>
        <v>https://zfin.org/ZDB-GENE-050208-726</v>
      </c>
      <c r="J23" t="s">
        <v>117</v>
      </c>
    </row>
    <row r="24" spans="1:10" x14ac:dyDescent="0.2">
      <c r="A24">
        <v>1.30460001602094E-27</v>
      </c>
      <c r="B24">
        <v>0.82849797866807595</v>
      </c>
      <c r="C24">
        <v>0.28000000000000003</v>
      </c>
      <c r="D24">
        <v>5.0999999999999997E-2</v>
      </c>
      <c r="E24">
        <v>2.0199122048052201E-23</v>
      </c>
      <c r="F24" t="s">
        <v>1250</v>
      </c>
      <c r="G24" t="s">
        <v>1251</v>
      </c>
      <c r="H24" t="s">
        <v>1250</v>
      </c>
      <c r="I24" t="str">
        <f>HYPERLINK("https://zfin.org/ZDB-GENE-070410-49")</f>
        <v>https://zfin.org/ZDB-GENE-070410-49</v>
      </c>
      <c r="J24" t="s">
        <v>1249</v>
      </c>
    </row>
    <row r="25" spans="1:10" x14ac:dyDescent="0.2">
      <c r="A25">
        <v>1.7061071512508198E-27</v>
      </c>
      <c r="B25">
        <v>1.3369242134281201</v>
      </c>
      <c r="C25">
        <v>0.63700000000000001</v>
      </c>
      <c r="D25">
        <v>0.34300000000000003</v>
      </c>
      <c r="E25">
        <v>2.6415657022816499E-23</v>
      </c>
      <c r="F25" t="s">
        <v>1247</v>
      </c>
      <c r="G25" t="s">
        <v>1248</v>
      </c>
      <c r="H25" t="s">
        <v>1247</v>
      </c>
      <c r="I25" t="str">
        <f>HYPERLINK("https://zfin.org/ZDB-GENE-040718-162")</f>
        <v>https://zfin.org/ZDB-GENE-040718-162</v>
      </c>
      <c r="J25" t="s">
        <v>1246</v>
      </c>
    </row>
    <row r="26" spans="1:10" x14ac:dyDescent="0.2">
      <c r="A26">
        <v>9.1044894298692005E-27</v>
      </c>
      <c r="B26">
        <v>0.94407499761340397</v>
      </c>
      <c r="C26">
        <v>0.22</v>
      </c>
      <c r="D26">
        <v>2.9000000000000001E-2</v>
      </c>
      <c r="E26">
        <v>1.40964809842665E-22</v>
      </c>
      <c r="F26" t="s">
        <v>1244</v>
      </c>
      <c r="G26" t="s">
        <v>1245</v>
      </c>
      <c r="H26" t="s">
        <v>1244</v>
      </c>
      <c r="I26" t="str">
        <f>HYPERLINK("https://zfin.org/ZDB-GENE-120104-1")</f>
        <v>https://zfin.org/ZDB-GENE-120104-1</v>
      </c>
      <c r="J26" t="s">
        <v>1243</v>
      </c>
    </row>
    <row r="27" spans="1:10" x14ac:dyDescent="0.2">
      <c r="A27">
        <v>3.5731398422579899E-25</v>
      </c>
      <c r="B27">
        <v>0.66687712128444798</v>
      </c>
      <c r="C27">
        <v>0.91800000000000004</v>
      </c>
      <c r="D27">
        <v>0.89100000000000001</v>
      </c>
      <c r="E27">
        <v>5.5322924177680398E-21</v>
      </c>
      <c r="F27" t="s">
        <v>171</v>
      </c>
      <c r="G27" t="s">
        <v>172</v>
      </c>
      <c r="H27" t="s">
        <v>171</v>
      </c>
      <c r="I27" t="str">
        <f>HYPERLINK("https://zfin.org/ZDB-GENE-010328-8")</f>
        <v>https://zfin.org/ZDB-GENE-010328-8</v>
      </c>
      <c r="J27" t="s">
        <v>173</v>
      </c>
    </row>
    <row r="28" spans="1:10" x14ac:dyDescent="0.2">
      <c r="A28">
        <v>6.5845806373035702E-25</v>
      </c>
      <c r="B28">
        <v>0.70486970155140305</v>
      </c>
      <c r="C28">
        <v>0.89600000000000002</v>
      </c>
      <c r="D28">
        <v>0.753</v>
      </c>
      <c r="E28">
        <v>1.01949062007371E-20</v>
      </c>
      <c r="F28" t="s">
        <v>103</v>
      </c>
      <c r="G28" t="s">
        <v>104</v>
      </c>
      <c r="H28" t="s">
        <v>103</v>
      </c>
      <c r="I28" t="str">
        <f>HYPERLINK("https://zfin.org/ZDB-GENE-041121-18")</f>
        <v>https://zfin.org/ZDB-GENE-041121-18</v>
      </c>
      <c r="J28" t="s">
        <v>105</v>
      </c>
    </row>
    <row r="29" spans="1:10" x14ac:dyDescent="0.2">
      <c r="A29">
        <v>1.01213413565795E-24</v>
      </c>
      <c r="B29">
        <v>0.58941214347797999</v>
      </c>
      <c r="C29">
        <v>0.92900000000000005</v>
      </c>
      <c r="D29">
        <v>0.90400000000000003</v>
      </c>
      <c r="E29">
        <v>1.5670872822392101E-20</v>
      </c>
      <c r="F29" t="s">
        <v>31</v>
      </c>
      <c r="G29" t="s">
        <v>32</v>
      </c>
      <c r="H29" t="s">
        <v>31</v>
      </c>
      <c r="I29" t="str">
        <f>HYPERLINK("https://zfin.org/ZDB-GENE-060316-3")</f>
        <v>https://zfin.org/ZDB-GENE-060316-3</v>
      </c>
      <c r="J29" t="s">
        <v>33</v>
      </c>
    </row>
    <row r="30" spans="1:10" x14ac:dyDescent="0.2">
      <c r="A30">
        <v>1.02729872872987E-24</v>
      </c>
      <c r="B30">
        <v>0.87692239858658205</v>
      </c>
      <c r="C30">
        <v>0.29099999999999998</v>
      </c>
      <c r="D30">
        <v>6.4000000000000001E-2</v>
      </c>
      <c r="E30">
        <v>1.5905666216924601E-20</v>
      </c>
      <c r="F30" t="s">
        <v>1241</v>
      </c>
      <c r="G30" t="s">
        <v>1242</v>
      </c>
      <c r="H30" t="s">
        <v>1241</v>
      </c>
      <c r="I30" t="str">
        <f>HYPERLINK("https://zfin.org/ZDB-GENE-121129-3")</f>
        <v>https://zfin.org/ZDB-GENE-121129-3</v>
      </c>
      <c r="J30" t="s">
        <v>1240</v>
      </c>
    </row>
    <row r="31" spans="1:10" x14ac:dyDescent="0.2">
      <c r="A31">
        <v>8.6396945736093593E-24</v>
      </c>
      <c r="B31">
        <v>1.0131984014937601</v>
      </c>
      <c r="C31">
        <v>0.69799999999999995</v>
      </c>
      <c r="D31">
        <v>0.43</v>
      </c>
      <c r="E31">
        <v>1.3376839108319401E-19</v>
      </c>
      <c r="F31" t="s">
        <v>1238</v>
      </c>
      <c r="G31" t="s">
        <v>1239</v>
      </c>
      <c r="H31" t="s">
        <v>1238</v>
      </c>
      <c r="I31" t="str">
        <f>HYPERLINK("https://zfin.org/ZDB-GENE-031118-45")</f>
        <v>https://zfin.org/ZDB-GENE-031118-45</v>
      </c>
      <c r="J31" t="s">
        <v>1237</v>
      </c>
    </row>
    <row r="32" spans="1:10" x14ac:dyDescent="0.2">
      <c r="A32">
        <v>4.0078766378174003E-23</v>
      </c>
      <c r="B32">
        <v>0.490474059514523</v>
      </c>
      <c r="C32">
        <v>0.115</v>
      </c>
      <c r="D32">
        <v>5.0000000000000001E-3</v>
      </c>
      <c r="E32">
        <v>6.2053953983326801E-19</v>
      </c>
      <c r="F32" t="s">
        <v>1235</v>
      </c>
      <c r="G32" t="s">
        <v>1236</v>
      </c>
      <c r="H32" t="s">
        <v>1235</v>
      </c>
      <c r="I32" t="str">
        <f>HYPERLINK("https://zfin.org/ZDB-GENE-010724-2")</f>
        <v>https://zfin.org/ZDB-GENE-010724-2</v>
      </c>
      <c r="J32" t="s">
        <v>1234</v>
      </c>
    </row>
    <row r="33" spans="1:10" x14ac:dyDescent="0.2">
      <c r="A33">
        <v>4.2534200316300401E-23</v>
      </c>
      <c r="B33">
        <v>0.93807736273661102</v>
      </c>
      <c r="C33">
        <v>0.41799999999999998</v>
      </c>
      <c r="D33">
        <v>0.14799999999999999</v>
      </c>
      <c r="E33">
        <v>6.5855702349727796E-19</v>
      </c>
      <c r="F33" t="s">
        <v>1232</v>
      </c>
      <c r="G33" t="s">
        <v>1233</v>
      </c>
      <c r="H33" t="s">
        <v>1232</v>
      </c>
      <c r="I33" t="str">
        <f>HYPERLINK("https://zfin.org/ZDB-GENE-090312-170")</f>
        <v>https://zfin.org/ZDB-GENE-090312-170</v>
      </c>
      <c r="J33" t="s">
        <v>1231</v>
      </c>
    </row>
    <row r="34" spans="1:10" x14ac:dyDescent="0.2">
      <c r="A34">
        <v>1.1951553478670399E-22</v>
      </c>
      <c r="B34">
        <v>1.0689679350238099</v>
      </c>
      <c r="C34">
        <v>0.53300000000000003</v>
      </c>
      <c r="D34">
        <v>0.254</v>
      </c>
      <c r="E34">
        <v>1.85045902510253E-18</v>
      </c>
      <c r="F34" t="s">
        <v>1229</v>
      </c>
      <c r="G34" t="s">
        <v>1230</v>
      </c>
      <c r="H34" t="s">
        <v>1229</v>
      </c>
      <c r="I34" t="str">
        <f>HYPERLINK("https://zfin.org/ZDB-GENE-040426-1937")</f>
        <v>https://zfin.org/ZDB-GENE-040426-1937</v>
      </c>
      <c r="J34" t="s">
        <v>1228</v>
      </c>
    </row>
    <row r="35" spans="1:10" x14ac:dyDescent="0.2">
      <c r="A35">
        <v>1.78883950399207E-22</v>
      </c>
      <c r="B35">
        <v>1.0100463919553899</v>
      </c>
      <c r="C35">
        <v>0.44500000000000001</v>
      </c>
      <c r="D35">
        <v>0.17299999999999999</v>
      </c>
      <c r="E35">
        <v>2.7696602040309301E-18</v>
      </c>
      <c r="F35" t="s">
        <v>1226</v>
      </c>
      <c r="G35" t="s">
        <v>1227</v>
      </c>
      <c r="H35" t="s">
        <v>1226</v>
      </c>
      <c r="I35" t="str">
        <f>HYPERLINK("https://zfin.org/ZDB-GENE-070705-81")</f>
        <v>https://zfin.org/ZDB-GENE-070705-81</v>
      </c>
      <c r="J35" t="s">
        <v>1225</v>
      </c>
    </row>
    <row r="36" spans="1:10" x14ac:dyDescent="0.2">
      <c r="A36">
        <v>2.39774398019922E-22</v>
      </c>
      <c r="B36">
        <v>0.81010007365297398</v>
      </c>
      <c r="C36">
        <v>0.74199999999999999</v>
      </c>
      <c r="D36">
        <v>0.53100000000000003</v>
      </c>
      <c r="E36">
        <v>3.7124270045424501E-18</v>
      </c>
      <c r="F36" t="s">
        <v>1223</v>
      </c>
      <c r="G36" t="s">
        <v>1224</v>
      </c>
      <c r="H36" t="s">
        <v>1223</v>
      </c>
      <c r="I36" t="str">
        <f>HYPERLINK("https://zfin.org/ZDB-GENE-000406-5")</f>
        <v>https://zfin.org/ZDB-GENE-000406-5</v>
      </c>
      <c r="J36" t="s">
        <v>1222</v>
      </c>
    </row>
    <row r="37" spans="1:10" x14ac:dyDescent="0.2">
      <c r="A37">
        <v>2.9086827590982999E-22</v>
      </c>
      <c r="B37">
        <v>0.71639329186680401</v>
      </c>
      <c r="C37">
        <v>0.23599999999999999</v>
      </c>
      <c r="D37">
        <v>4.4999999999999998E-2</v>
      </c>
      <c r="E37">
        <v>4.5035135159118902E-18</v>
      </c>
      <c r="F37" t="s">
        <v>1220</v>
      </c>
      <c r="G37" t="s">
        <v>1221</v>
      </c>
      <c r="H37" t="s">
        <v>1220</v>
      </c>
      <c r="I37" t="str">
        <f>HYPERLINK("https://zfin.org/ZDB-GENE-060610-3")</f>
        <v>https://zfin.org/ZDB-GENE-060610-3</v>
      </c>
      <c r="J37" t="s">
        <v>1219</v>
      </c>
    </row>
    <row r="38" spans="1:10" x14ac:dyDescent="0.2">
      <c r="A38">
        <v>3.1887000669144898E-22</v>
      </c>
      <c r="B38">
        <v>0.43363850435153101</v>
      </c>
      <c r="C38">
        <v>0.121</v>
      </c>
      <c r="D38">
        <v>7.0000000000000001E-3</v>
      </c>
      <c r="E38">
        <v>4.9370643136037099E-18</v>
      </c>
      <c r="F38" t="s">
        <v>1217</v>
      </c>
      <c r="G38" t="s">
        <v>1218</v>
      </c>
      <c r="H38" t="s">
        <v>1217</v>
      </c>
      <c r="I38" t="str">
        <f>HYPERLINK("https://zfin.org/ZDB-GENE-041217-22")</f>
        <v>https://zfin.org/ZDB-GENE-041217-22</v>
      </c>
      <c r="J38" t="s">
        <v>1216</v>
      </c>
    </row>
    <row r="39" spans="1:10" x14ac:dyDescent="0.2">
      <c r="A39">
        <v>4.8735112083708305E-22</v>
      </c>
      <c r="B39">
        <v>1.2485043767614801</v>
      </c>
      <c r="C39">
        <v>0.31900000000000001</v>
      </c>
      <c r="D39">
        <v>8.5000000000000006E-2</v>
      </c>
      <c r="E39">
        <v>7.5456574039205503E-18</v>
      </c>
      <c r="F39" t="s">
        <v>1214</v>
      </c>
      <c r="G39" t="s">
        <v>1215</v>
      </c>
      <c r="H39" t="s">
        <v>1214</v>
      </c>
      <c r="I39" t="str">
        <f>HYPERLINK("https://zfin.org/ZDB-GENE-980526-249")</f>
        <v>https://zfin.org/ZDB-GENE-980526-249</v>
      </c>
      <c r="J39" t="s">
        <v>1213</v>
      </c>
    </row>
    <row r="40" spans="1:10" x14ac:dyDescent="0.2">
      <c r="A40">
        <v>4.1152534169513104E-21</v>
      </c>
      <c r="B40">
        <v>0.90720335514379002</v>
      </c>
      <c r="C40">
        <v>0.45600000000000002</v>
      </c>
      <c r="D40">
        <v>0.17899999999999999</v>
      </c>
      <c r="E40">
        <v>6.3716468654657098E-17</v>
      </c>
      <c r="F40" t="s">
        <v>1211</v>
      </c>
      <c r="G40" t="s">
        <v>1212</v>
      </c>
      <c r="H40" t="s">
        <v>1211</v>
      </c>
      <c r="I40" t="str">
        <f>HYPERLINK("https://zfin.org/ZDB-GENE-131127-337")</f>
        <v>https://zfin.org/ZDB-GENE-131127-337</v>
      </c>
      <c r="J40" t="s">
        <v>1210</v>
      </c>
    </row>
    <row r="41" spans="1:10" x14ac:dyDescent="0.2">
      <c r="A41">
        <v>6.0766861399534198E-21</v>
      </c>
      <c r="B41">
        <v>0.75461567582811595</v>
      </c>
      <c r="C41">
        <v>0.85699999999999998</v>
      </c>
      <c r="D41">
        <v>0.72099999999999997</v>
      </c>
      <c r="E41">
        <v>9.4085331504898899E-17</v>
      </c>
      <c r="F41" t="s">
        <v>279</v>
      </c>
      <c r="G41" t="s">
        <v>280</v>
      </c>
      <c r="H41" t="s">
        <v>279</v>
      </c>
      <c r="I41" t="str">
        <f>HYPERLINK("https://zfin.org/ZDB-GENE-030131-8575")</f>
        <v>https://zfin.org/ZDB-GENE-030131-8575</v>
      </c>
      <c r="J41" t="s">
        <v>281</v>
      </c>
    </row>
    <row r="42" spans="1:10" x14ac:dyDescent="0.2">
      <c r="A42">
        <v>1.290831126694E-20</v>
      </c>
      <c r="B42">
        <v>0.80722360285359795</v>
      </c>
      <c r="C42">
        <v>0.68700000000000006</v>
      </c>
      <c r="D42">
        <v>0.45600000000000002</v>
      </c>
      <c r="E42">
        <v>1.9985938334603199E-16</v>
      </c>
      <c r="F42" t="s">
        <v>1208</v>
      </c>
      <c r="G42" t="s">
        <v>1209</v>
      </c>
      <c r="H42" t="s">
        <v>1208</v>
      </c>
      <c r="I42" t="str">
        <f>HYPERLINK("https://zfin.org/ZDB-GENE-020802-2")</f>
        <v>https://zfin.org/ZDB-GENE-020802-2</v>
      </c>
      <c r="J42" t="s">
        <v>1207</v>
      </c>
    </row>
    <row r="43" spans="1:10" x14ac:dyDescent="0.2">
      <c r="A43">
        <v>1.9296305404687399E-20</v>
      </c>
      <c r="B43">
        <v>0.46381203187592401</v>
      </c>
      <c r="C43">
        <v>0.104</v>
      </c>
      <c r="D43">
        <v>5.0000000000000001E-3</v>
      </c>
      <c r="E43">
        <v>2.9876469658077499E-16</v>
      </c>
      <c r="F43" t="s">
        <v>1205</v>
      </c>
      <c r="G43" t="s">
        <v>1206</v>
      </c>
      <c r="H43" t="s">
        <v>1205</v>
      </c>
      <c r="I43" t="str">
        <f>HYPERLINK("https://zfin.org/ZDB-GENE-140106-118")</f>
        <v>https://zfin.org/ZDB-GENE-140106-118</v>
      </c>
      <c r="J43" t="s">
        <v>1204</v>
      </c>
    </row>
    <row r="44" spans="1:10" x14ac:dyDescent="0.2">
      <c r="A44">
        <v>2.8453172429178497E-20</v>
      </c>
      <c r="B44">
        <v>0.91988295833231204</v>
      </c>
      <c r="C44">
        <v>0.63200000000000001</v>
      </c>
      <c r="D44">
        <v>0.40400000000000003</v>
      </c>
      <c r="E44">
        <v>4.4054046872097102E-16</v>
      </c>
      <c r="F44" t="s">
        <v>1202</v>
      </c>
      <c r="G44" t="s">
        <v>1203</v>
      </c>
      <c r="H44" t="s">
        <v>1202</v>
      </c>
      <c r="I44" t="str">
        <f>HYPERLINK("https://zfin.org/ZDB-GENE-030911-2")</f>
        <v>https://zfin.org/ZDB-GENE-030911-2</v>
      </c>
      <c r="J44" t="s">
        <v>1201</v>
      </c>
    </row>
    <row r="45" spans="1:10" x14ac:dyDescent="0.2">
      <c r="A45">
        <v>1.13435660956888E-19</v>
      </c>
      <c r="B45">
        <v>0.37852754637609998</v>
      </c>
      <c r="C45">
        <v>0.121</v>
      </c>
      <c r="D45">
        <v>8.9999999999999993E-3</v>
      </c>
      <c r="E45">
        <v>1.7563243385954999E-15</v>
      </c>
      <c r="F45" t="s">
        <v>1199</v>
      </c>
      <c r="G45" t="s">
        <v>1200</v>
      </c>
      <c r="H45" t="s">
        <v>1199</v>
      </c>
      <c r="I45" t="str">
        <f>HYPERLINK("https://zfin.org/ZDB-GENE-031118-112")</f>
        <v>https://zfin.org/ZDB-GENE-031118-112</v>
      </c>
      <c r="J45" t="s">
        <v>1198</v>
      </c>
    </row>
    <row r="46" spans="1:10" x14ac:dyDescent="0.2">
      <c r="A46">
        <v>4.9544341808379096E-19</v>
      </c>
      <c r="B46">
        <v>0.60333822268534998</v>
      </c>
      <c r="C46">
        <v>0.85199999999999998</v>
      </c>
      <c r="D46">
        <v>0.755</v>
      </c>
      <c r="E46">
        <v>7.6709504421913306E-15</v>
      </c>
      <c r="F46" t="s">
        <v>91</v>
      </c>
      <c r="G46" t="s">
        <v>92</v>
      </c>
      <c r="H46" t="s">
        <v>91</v>
      </c>
      <c r="I46" t="str">
        <f>HYPERLINK("https://zfin.org/ZDB-GENE-120215-258")</f>
        <v>https://zfin.org/ZDB-GENE-120215-258</v>
      </c>
      <c r="J46" t="s">
        <v>93</v>
      </c>
    </row>
    <row r="47" spans="1:10" x14ac:dyDescent="0.2">
      <c r="A47">
        <v>2.3168815086240302E-18</v>
      </c>
      <c r="B47">
        <v>0.84596698462512399</v>
      </c>
      <c r="C47">
        <v>0.61</v>
      </c>
      <c r="D47">
        <v>0.373</v>
      </c>
      <c r="E47">
        <v>3.5872276398025901E-14</v>
      </c>
      <c r="F47" t="s">
        <v>1196</v>
      </c>
      <c r="G47" t="s">
        <v>1197</v>
      </c>
      <c r="H47" t="s">
        <v>1196</v>
      </c>
      <c r="I47" t="str">
        <f>HYPERLINK("https://zfin.org/ZDB-GENE-061103-283")</f>
        <v>https://zfin.org/ZDB-GENE-061103-283</v>
      </c>
      <c r="J47" t="s">
        <v>1195</v>
      </c>
    </row>
    <row r="48" spans="1:10" x14ac:dyDescent="0.2">
      <c r="A48">
        <v>2.56959262541664E-18</v>
      </c>
      <c r="B48">
        <v>0.61133303574656395</v>
      </c>
      <c r="C48">
        <v>0.94499999999999995</v>
      </c>
      <c r="D48">
        <v>0.85</v>
      </c>
      <c r="E48">
        <v>3.9785002619325802E-14</v>
      </c>
      <c r="F48" t="s">
        <v>130</v>
      </c>
      <c r="G48" t="s">
        <v>131</v>
      </c>
      <c r="H48" t="s">
        <v>130</v>
      </c>
      <c r="I48" t="str">
        <f>HYPERLINK("https://zfin.org/ZDB-GENE-030131-8599")</f>
        <v>https://zfin.org/ZDB-GENE-030131-8599</v>
      </c>
      <c r="J48" t="s">
        <v>132</v>
      </c>
    </row>
    <row r="49" spans="1:10" x14ac:dyDescent="0.2">
      <c r="A49">
        <v>4.5093215341588896E-18</v>
      </c>
      <c r="B49">
        <v>0.51550604589693905</v>
      </c>
      <c r="C49">
        <v>0.126</v>
      </c>
      <c r="D49">
        <v>1.2999999999999999E-2</v>
      </c>
      <c r="E49">
        <v>6.9817825313382094E-14</v>
      </c>
      <c r="F49" t="s">
        <v>1193</v>
      </c>
      <c r="G49" t="s">
        <v>1194</v>
      </c>
      <c r="H49" t="s">
        <v>1193</v>
      </c>
      <c r="I49" t="str">
        <f>HYPERLINK("https://zfin.org/ZDB-GENE-111031-1")</f>
        <v>https://zfin.org/ZDB-GENE-111031-1</v>
      </c>
      <c r="J49" t="s">
        <v>1192</v>
      </c>
    </row>
    <row r="50" spans="1:10" x14ac:dyDescent="0.2">
      <c r="A50">
        <v>7.9647951476245397E-18</v>
      </c>
      <c r="B50">
        <v>0.672748378129298</v>
      </c>
      <c r="C50">
        <v>0.30199999999999999</v>
      </c>
      <c r="D50">
        <v>9.0999999999999998E-2</v>
      </c>
      <c r="E50">
        <v>1.23318923270671E-13</v>
      </c>
      <c r="F50" t="s">
        <v>1190</v>
      </c>
      <c r="G50" t="s">
        <v>1191</v>
      </c>
      <c r="H50" t="s">
        <v>1190</v>
      </c>
      <c r="I50" t="str">
        <f>HYPERLINK("https://zfin.org/ZDB-GENE-980526-68")</f>
        <v>https://zfin.org/ZDB-GENE-980526-68</v>
      </c>
      <c r="J50" t="s">
        <v>1189</v>
      </c>
    </row>
    <row r="51" spans="1:10" x14ac:dyDescent="0.2">
      <c r="A51">
        <v>1.02558976864485E-17</v>
      </c>
      <c r="B51">
        <v>0.73760733355361996</v>
      </c>
      <c r="C51">
        <v>0.90100000000000002</v>
      </c>
      <c r="D51">
        <v>0.85799999999999998</v>
      </c>
      <c r="E51">
        <v>1.5879206387928301E-13</v>
      </c>
      <c r="F51" t="s">
        <v>82</v>
      </c>
      <c r="G51" t="s">
        <v>83</v>
      </c>
      <c r="H51" t="s">
        <v>84</v>
      </c>
      <c r="I51" t="str">
        <f>HYPERLINK("https://zfin.org/")</f>
        <v>https://zfin.org/</v>
      </c>
    </row>
    <row r="52" spans="1:10" x14ac:dyDescent="0.2">
      <c r="A52">
        <v>2.5620076803068599E-17</v>
      </c>
      <c r="B52">
        <v>0.58843547005013297</v>
      </c>
      <c r="C52">
        <v>0.11</v>
      </c>
      <c r="D52">
        <v>8.9999999999999993E-3</v>
      </c>
      <c r="E52">
        <v>3.9667564914191098E-13</v>
      </c>
      <c r="F52" t="s">
        <v>1187</v>
      </c>
      <c r="G52" t="s">
        <v>1188</v>
      </c>
      <c r="H52" t="s">
        <v>1187</v>
      </c>
      <c r="I52" t="str">
        <f>HYPERLINK("https://zfin.org/ZDB-GENE-070727-1")</f>
        <v>https://zfin.org/ZDB-GENE-070727-1</v>
      </c>
      <c r="J52" t="s">
        <v>1186</v>
      </c>
    </row>
    <row r="53" spans="1:10" x14ac:dyDescent="0.2">
      <c r="A53">
        <v>3.2897328184082399E-17</v>
      </c>
      <c r="B53">
        <v>0.46195166158976803</v>
      </c>
      <c r="C53">
        <v>0.11</v>
      </c>
      <c r="D53">
        <v>8.9999999999999993E-3</v>
      </c>
      <c r="E53">
        <v>5.0934933227414801E-13</v>
      </c>
      <c r="F53" t="s">
        <v>1184</v>
      </c>
      <c r="G53" t="s">
        <v>1185</v>
      </c>
      <c r="H53" t="s">
        <v>1184</v>
      </c>
      <c r="I53" t="str">
        <f>HYPERLINK("https://zfin.org/ZDB-GENE-131121-313")</f>
        <v>https://zfin.org/ZDB-GENE-131121-313</v>
      </c>
      <c r="J53" t="s">
        <v>1183</v>
      </c>
    </row>
    <row r="54" spans="1:10" x14ac:dyDescent="0.2">
      <c r="A54">
        <v>8.8121875758352903E-17</v>
      </c>
      <c r="B54">
        <v>1.0636440153526501</v>
      </c>
      <c r="C54">
        <v>0.192</v>
      </c>
      <c r="D54">
        <v>3.9E-2</v>
      </c>
      <c r="E54">
        <v>1.3643910023665801E-12</v>
      </c>
      <c r="F54" t="s">
        <v>1181</v>
      </c>
      <c r="G54" t="s">
        <v>1182</v>
      </c>
      <c r="H54" t="s">
        <v>1181</v>
      </c>
      <c r="I54" t="str">
        <f>HYPERLINK("https://zfin.org/ZDB-GENE-030131-15")</f>
        <v>https://zfin.org/ZDB-GENE-030131-15</v>
      </c>
      <c r="J54" t="s">
        <v>1180</v>
      </c>
    </row>
    <row r="55" spans="1:10" x14ac:dyDescent="0.2">
      <c r="A55">
        <v>1.07206826285305E-16</v>
      </c>
      <c r="B55">
        <v>0.75939640717414703</v>
      </c>
      <c r="C55">
        <v>0.626</v>
      </c>
      <c r="D55">
        <v>0.39</v>
      </c>
      <c r="E55">
        <v>1.65988329137538E-12</v>
      </c>
      <c r="F55" t="s">
        <v>1178</v>
      </c>
      <c r="G55" t="s">
        <v>1179</v>
      </c>
      <c r="H55" t="s">
        <v>1178</v>
      </c>
      <c r="I55" t="str">
        <f>HYPERLINK("https://zfin.org/ZDB-GENE-040426-1877")</f>
        <v>https://zfin.org/ZDB-GENE-040426-1877</v>
      </c>
      <c r="J55" t="s">
        <v>1177</v>
      </c>
    </row>
    <row r="56" spans="1:10" x14ac:dyDescent="0.2">
      <c r="A56">
        <v>4.8555677267067798E-16</v>
      </c>
      <c r="B56">
        <v>0.92943239564686098</v>
      </c>
      <c r="C56">
        <v>0.22500000000000001</v>
      </c>
      <c r="D56">
        <v>5.8000000000000003E-2</v>
      </c>
      <c r="E56">
        <v>7.5178755112601093E-12</v>
      </c>
      <c r="F56" t="s">
        <v>1175</v>
      </c>
      <c r="G56" t="s">
        <v>1176</v>
      </c>
      <c r="H56" t="s">
        <v>1175</v>
      </c>
      <c r="I56" t="str">
        <f>HYPERLINK("https://zfin.org/ZDB-GENE-000210-21")</f>
        <v>https://zfin.org/ZDB-GENE-000210-21</v>
      </c>
      <c r="J56" t="s">
        <v>1174</v>
      </c>
    </row>
    <row r="57" spans="1:10" x14ac:dyDescent="0.2">
      <c r="A57">
        <v>4.9986602139554099E-16</v>
      </c>
      <c r="B57">
        <v>0.64481642032902398</v>
      </c>
      <c r="C57">
        <v>0.96199999999999997</v>
      </c>
      <c r="D57">
        <v>0.94199999999999995</v>
      </c>
      <c r="E57">
        <v>7.7394256092671598E-12</v>
      </c>
      <c r="F57" t="s">
        <v>124</v>
      </c>
      <c r="G57" t="s">
        <v>125</v>
      </c>
      <c r="H57" t="s">
        <v>124</v>
      </c>
      <c r="I57" t="str">
        <f>HYPERLINK("https://zfin.org/ZDB-GENE-040426-2315")</f>
        <v>https://zfin.org/ZDB-GENE-040426-2315</v>
      </c>
      <c r="J57" t="s">
        <v>126</v>
      </c>
    </row>
    <row r="58" spans="1:10" x14ac:dyDescent="0.2">
      <c r="A58">
        <v>9.5134889971258994E-16</v>
      </c>
      <c r="B58">
        <v>1.0552207174978501</v>
      </c>
      <c r="C58">
        <v>0.51600000000000001</v>
      </c>
      <c r="D58">
        <v>0.28899999999999998</v>
      </c>
      <c r="E58">
        <v>1.4729735014250001E-11</v>
      </c>
      <c r="F58" t="s">
        <v>1172</v>
      </c>
      <c r="G58" t="s">
        <v>1173</v>
      </c>
      <c r="H58" t="s">
        <v>1172</v>
      </c>
      <c r="I58" t="str">
        <f>HYPERLINK("https://zfin.org/ZDB-GENE-051030-98")</f>
        <v>https://zfin.org/ZDB-GENE-051030-98</v>
      </c>
      <c r="J58" t="s">
        <v>1171</v>
      </c>
    </row>
    <row r="59" spans="1:10" x14ac:dyDescent="0.2">
      <c r="A59">
        <v>2.7148296222187901E-15</v>
      </c>
      <c r="B59">
        <v>0.74249430481122902</v>
      </c>
      <c r="C59">
        <v>0.56599999999999995</v>
      </c>
      <c r="D59">
        <v>0.33200000000000002</v>
      </c>
      <c r="E59">
        <v>4.2033707040813502E-11</v>
      </c>
      <c r="F59" t="s">
        <v>1169</v>
      </c>
      <c r="G59" t="s">
        <v>1170</v>
      </c>
      <c r="H59" t="s">
        <v>1169</v>
      </c>
      <c r="I59" t="str">
        <f>HYPERLINK("https://zfin.org/ZDB-GENE-060503-288")</f>
        <v>https://zfin.org/ZDB-GENE-060503-288</v>
      </c>
      <c r="J59" t="s">
        <v>1168</v>
      </c>
    </row>
    <row r="60" spans="1:10" x14ac:dyDescent="0.2">
      <c r="A60">
        <v>3.3217317513501699E-15</v>
      </c>
      <c r="B60">
        <v>0.73243813184868101</v>
      </c>
      <c r="C60">
        <v>0.80200000000000005</v>
      </c>
      <c r="D60">
        <v>0.65800000000000003</v>
      </c>
      <c r="E60">
        <v>5.1430372706154601E-11</v>
      </c>
      <c r="F60" t="s">
        <v>1166</v>
      </c>
      <c r="G60" t="s">
        <v>1167</v>
      </c>
      <c r="H60" t="s">
        <v>1166</v>
      </c>
      <c r="I60" t="str">
        <f>HYPERLINK("https://zfin.org/")</f>
        <v>https://zfin.org/</v>
      </c>
    </row>
    <row r="61" spans="1:10" x14ac:dyDescent="0.2">
      <c r="A61">
        <v>8.2339181820233397E-15</v>
      </c>
      <c r="B61">
        <v>0.85058144580553796</v>
      </c>
      <c r="C61">
        <v>0.29099999999999998</v>
      </c>
      <c r="D61">
        <v>0.10100000000000001</v>
      </c>
      <c r="E61">
        <v>1.2748575521226701E-10</v>
      </c>
      <c r="F61" t="s">
        <v>1164</v>
      </c>
      <c r="G61" t="s">
        <v>1165</v>
      </c>
      <c r="H61" t="s">
        <v>1164</v>
      </c>
      <c r="I61" t="str">
        <f>HYPERLINK("https://zfin.org/ZDB-GENE-030131-6134")</f>
        <v>https://zfin.org/ZDB-GENE-030131-6134</v>
      </c>
      <c r="J61" t="s">
        <v>1163</v>
      </c>
    </row>
    <row r="62" spans="1:10" x14ac:dyDescent="0.2">
      <c r="A62">
        <v>8.7348939675033297E-15</v>
      </c>
      <c r="B62">
        <v>0.57969161040485595</v>
      </c>
      <c r="C62">
        <v>0.17599999999999999</v>
      </c>
      <c r="D62">
        <v>3.6999999999999998E-2</v>
      </c>
      <c r="E62">
        <v>1.3524236329885401E-10</v>
      </c>
      <c r="F62" t="s">
        <v>1161</v>
      </c>
      <c r="G62" t="s">
        <v>1162</v>
      </c>
      <c r="H62" t="s">
        <v>1161</v>
      </c>
      <c r="I62" t="str">
        <f>HYPERLINK("https://zfin.org/ZDB-GENE-080407-1")</f>
        <v>https://zfin.org/ZDB-GENE-080407-1</v>
      </c>
      <c r="J62" t="s">
        <v>1160</v>
      </c>
    </row>
    <row r="63" spans="1:10" x14ac:dyDescent="0.2">
      <c r="A63">
        <v>9.1365440613633094E-15</v>
      </c>
      <c r="B63">
        <v>0.805730261954546</v>
      </c>
      <c r="C63">
        <v>0.187</v>
      </c>
      <c r="D63">
        <v>4.2000000000000003E-2</v>
      </c>
      <c r="E63">
        <v>1.41461111702088E-10</v>
      </c>
      <c r="F63" t="s">
        <v>1158</v>
      </c>
      <c r="G63" t="s">
        <v>1159</v>
      </c>
      <c r="H63" t="s">
        <v>1158</v>
      </c>
      <c r="I63" t="str">
        <f>HYPERLINK("https://zfin.org/ZDB-GENE-050601-2")</f>
        <v>https://zfin.org/ZDB-GENE-050601-2</v>
      </c>
      <c r="J63" t="s">
        <v>1157</v>
      </c>
    </row>
    <row r="64" spans="1:10" x14ac:dyDescent="0.2">
      <c r="A64">
        <v>2.01713471651321E-14</v>
      </c>
      <c r="B64">
        <v>0.833692665583606</v>
      </c>
      <c r="C64">
        <v>0.434</v>
      </c>
      <c r="D64">
        <v>0.21199999999999999</v>
      </c>
      <c r="E64">
        <v>3.12312968157741E-10</v>
      </c>
      <c r="F64" t="s">
        <v>1155</v>
      </c>
      <c r="G64" t="s">
        <v>1156</v>
      </c>
      <c r="H64" t="s">
        <v>1155</v>
      </c>
      <c r="I64" t="str">
        <f>HYPERLINK("https://zfin.org/ZDB-GENE-030219-204")</f>
        <v>https://zfin.org/ZDB-GENE-030219-204</v>
      </c>
      <c r="J64" t="s">
        <v>1154</v>
      </c>
    </row>
    <row r="65" spans="1:10" x14ac:dyDescent="0.2">
      <c r="A65">
        <v>3.0875816721554099E-14</v>
      </c>
      <c r="B65">
        <v>0.75459667226511795</v>
      </c>
      <c r="C65">
        <v>0.42299999999999999</v>
      </c>
      <c r="D65">
        <v>0.20599999999999999</v>
      </c>
      <c r="E65">
        <v>4.7805027029982204E-10</v>
      </c>
      <c r="F65" t="s">
        <v>1152</v>
      </c>
      <c r="G65" t="s">
        <v>1153</v>
      </c>
      <c r="H65" t="s">
        <v>1152</v>
      </c>
      <c r="I65" t="str">
        <f>HYPERLINK("https://zfin.org/ZDB-GENE-030131-3481")</f>
        <v>https://zfin.org/ZDB-GENE-030131-3481</v>
      </c>
      <c r="J65" t="s">
        <v>1151</v>
      </c>
    </row>
    <row r="66" spans="1:10" x14ac:dyDescent="0.2">
      <c r="A66">
        <v>3.2765527929100797E-14</v>
      </c>
      <c r="B66">
        <v>0.71811880041645104</v>
      </c>
      <c r="C66">
        <v>0.54400000000000004</v>
      </c>
      <c r="D66">
        <v>0.307</v>
      </c>
      <c r="E66">
        <v>5.0730866892626802E-10</v>
      </c>
      <c r="F66" t="s">
        <v>1149</v>
      </c>
      <c r="G66" t="s">
        <v>1150</v>
      </c>
      <c r="H66" t="s">
        <v>1149</v>
      </c>
      <c r="I66" t="str">
        <f>HYPERLINK("https://zfin.org/ZDB-GENE-070912-648")</f>
        <v>https://zfin.org/ZDB-GENE-070912-648</v>
      </c>
      <c r="J66" t="s">
        <v>1148</v>
      </c>
    </row>
    <row r="67" spans="1:10" x14ac:dyDescent="0.2">
      <c r="A67">
        <v>4.5149250051927897E-14</v>
      </c>
      <c r="B67">
        <v>0.52527508097375097</v>
      </c>
      <c r="C67">
        <v>0.92900000000000005</v>
      </c>
      <c r="D67">
        <v>0.91700000000000004</v>
      </c>
      <c r="E67">
        <v>6.9904583855399901E-10</v>
      </c>
      <c r="F67" t="s">
        <v>37</v>
      </c>
      <c r="G67" t="s">
        <v>38</v>
      </c>
      <c r="H67" t="s">
        <v>37</v>
      </c>
      <c r="I67" t="str">
        <f>HYPERLINK("https://zfin.org/ZDB-GENE-110411-160")</f>
        <v>https://zfin.org/ZDB-GENE-110411-160</v>
      </c>
      <c r="J67" t="s">
        <v>39</v>
      </c>
    </row>
    <row r="68" spans="1:10" x14ac:dyDescent="0.2">
      <c r="A68">
        <v>5.7362355350128005E-14</v>
      </c>
      <c r="B68">
        <v>0.61879938441480697</v>
      </c>
      <c r="C68">
        <v>0.187</v>
      </c>
      <c r="D68">
        <v>4.4999999999999998E-2</v>
      </c>
      <c r="E68">
        <v>8.8814134788603098E-10</v>
      </c>
      <c r="F68" t="s">
        <v>1146</v>
      </c>
      <c r="G68" t="s">
        <v>1147</v>
      </c>
      <c r="H68" t="s">
        <v>1146</v>
      </c>
      <c r="I68" t="str">
        <f>HYPERLINK("https://zfin.org/ZDB-GENE-091106-2")</f>
        <v>https://zfin.org/ZDB-GENE-091106-2</v>
      </c>
      <c r="J68" t="s">
        <v>1145</v>
      </c>
    </row>
    <row r="69" spans="1:10" x14ac:dyDescent="0.2">
      <c r="A69">
        <v>1.08676434341083E-13</v>
      </c>
      <c r="B69">
        <v>0.70619910869720903</v>
      </c>
      <c r="C69">
        <v>0.58799999999999997</v>
      </c>
      <c r="D69">
        <v>0.39800000000000002</v>
      </c>
      <c r="E69">
        <v>1.6826372329029899E-9</v>
      </c>
      <c r="F69" t="s">
        <v>1143</v>
      </c>
      <c r="G69" t="s">
        <v>1144</v>
      </c>
      <c r="H69" t="s">
        <v>1143</v>
      </c>
      <c r="I69" t="str">
        <f>HYPERLINK("https://zfin.org/ZDB-GENE-030131-6757")</f>
        <v>https://zfin.org/ZDB-GENE-030131-6757</v>
      </c>
      <c r="J69" t="s">
        <v>1142</v>
      </c>
    </row>
    <row r="70" spans="1:10" x14ac:dyDescent="0.2">
      <c r="A70">
        <v>1.4088642515722801E-13</v>
      </c>
      <c r="B70">
        <v>0.56232148558378603</v>
      </c>
      <c r="C70">
        <v>0.192</v>
      </c>
      <c r="D70">
        <v>4.8000000000000001E-2</v>
      </c>
      <c r="E70">
        <v>2.18134452070936E-9</v>
      </c>
      <c r="F70" t="s">
        <v>1140</v>
      </c>
      <c r="G70" t="s">
        <v>1141</v>
      </c>
      <c r="H70" t="s">
        <v>1140</v>
      </c>
      <c r="I70" t="str">
        <f>HYPERLINK("https://zfin.org/ZDB-GENE-030131-2614")</f>
        <v>https://zfin.org/ZDB-GENE-030131-2614</v>
      </c>
      <c r="J70" t="s">
        <v>1139</v>
      </c>
    </row>
    <row r="71" spans="1:10" x14ac:dyDescent="0.2">
      <c r="A71">
        <v>1.4799152290013101E-13</v>
      </c>
      <c r="B71">
        <v>0.47167632052820102</v>
      </c>
      <c r="C71">
        <v>0.159</v>
      </c>
      <c r="D71">
        <v>3.3000000000000002E-2</v>
      </c>
      <c r="E71">
        <v>2.2913527490627398E-9</v>
      </c>
      <c r="F71" t="s">
        <v>1137</v>
      </c>
      <c r="G71" t="s">
        <v>1138</v>
      </c>
      <c r="H71" t="s">
        <v>1137</v>
      </c>
      <c r="I71" t="str">
        <f>HYPERLINK("https://zfin.org/ZDB-GENE-050626-55")</f>
        <v>https://zfin.org/ZDB-GENE-050626-55</v>
      </c>
      <c r="J71" t="s">
        <v>1136</v>
      </c>
    </row>
    <row r="72" spans="1:10" x14ac:dyDescent="0.2">
      <c r="A72">
        <v>1.6378306719596501E-13</v>
      </c>
      <c r="B72">
        <v>0.76780120011423003</v>
      </c>
      <c r="C72">
        <v>0.54400000000000004</v>
      </c>
      <c r="D72">
        <v>0.34</v>
      </c>
      <c r="E72">
        <v>2.5358532293951302E-9</v>
      </c>
      <c r="F72" t="s">
        <v>1134</v>
      </c>
      <c r="G72" t="s">
        <v>1135</v>
      </c>
      <c r="H72" t="s">
        <v>1134</v>
      </c>
      <c r="I72" t="str">
        <f>HYPERLINK("https://zfin.org/ZDB-GENE-021016-1")</f>
        <v>https://zfin.org/ZDB-GENE-021016-1</v>
      </c>
      <c r="J72" t="s">
        <v>1133</v>
      </c>
    </row>
    <row r="73" spans="1:10" x14ac:dyDescent="0.2">
      <c r="A73">
        <v>2.4746841699162001E-13</v>
      </c>
      <c r="B73">
        <v>0.54756209549569601</v>
      </c>
      <c r="C73">
        <v>0.17599999999999999</v>
      </c>
      <c r="D73">
        <v>4.1000000000000002E-2</v>
      </c>
      <c r="E73">
        <v>3.8315535002812496E-9</v>
      </c>
      <c r="F73" t="s">
        <v>1131</v>
      </c>
      <c r="G73" t="s">
        <v>1132</v>
      </c>
      <c r="H73" t="s">
        <v>1131</v>
      </c>
      <c r="I73" t="str">
        <f>HYPERLINK("https://zfin.org/ZDB-GENE-130603-41")</f>
        <v>https://zfin.org/ZDB-GENE-130603-41</v>
      </c>
      <c r="J73" t="s">
        <v>1130</v>
      </c>
    </row>
    <row r="74" spans="1:10" x14ac:dyDescent="0.2">
      <c r="A74">
        <v>2.56523590601217E-13</v>
      </c>
      <c r="B74">
        <v>0.51834984391882899</v>
      </c>
      <c r="C74">
        <v>0.79100000000000004</v>
      </c>
      <c r="D74">
        <v>0.67500000000000004</v>
      </c>
      <c r="E74">
        <v>3.9717547532786399E-9</v>
      </c>
      <c r="F74" t="s">
        <v>135</v>
      </c>
      <c r="G74" t="s">
        <v>136</v>
      </c>
      <c r="H74" t="s">
        <v>135</v>
      </c>
      <c r="I74" t="str">
        <f>HYPERLINK("https://zfin.org/ZDB-GENE-071205-8")</f>
        <v>https://zfin.org/ZDB-GENE-071205-8</v>
      </c>
      <c r="J74" t="s">
        <v>137</v>
      </c>
    </row>
    <row r="75" spans="1:10" x14ac:dyDescent="0.2">
      <c r="A75">
        <v>5.8505423111737497E-13</v>
      </c>
      <c r="B75">
        <v>0.64956735326300097</v>
      </c>
      <c r="C75">
        <v>0.19800000000000001</v>
      </c>
      <c r="D75">
        <v>5.2999999999999999E-2</v>
      </c>
      <c r="E75">
        <v>9.0583946603903199E-9</v>
      </c>
      <c r="F75" t="s">
        <v>1128</v>
      </c>
      <c r="G75" t="s">
        <v>1129</v>
      </c>
      <c r="H75" t="s">
        <v>1128</v>
      </c>
      <c r="I75" t="str">
        <f>HYPERLINK("https://zfin.org/ZDB-GENE-040822-37")</f>
        <v>https://zfin.org/ZDB-GENE-040822-37</v>
      </c>
      <c r="J75" t="s">
        <v>1127</v>
      </c>
    </row>
    <row r="76" spans="1:10" x14ac:dyDescent="0.2">
      <c r="A76">
        <v>1.46587847159322E-12</v>
      </c>
      <c r="B76">
        <v>0.408279749600579</v>
      </c>
      <c r="C76">
        <v>0.92900000000000005</v>
      </c>
      <c r="D76">
        <v>0.90800000000000003</v>
      </c>
      <c r="E76">
        <v>2.26961963756778E-8</v>
      </c>
      <c r="F76" t="s">
        <v>46</v>
      </c>
      <c r="G76" t="s">
        <v>47</v>
      </c>
      <c r="H76" t="s">
        <v>46</v>
      </c>
      <c r="I76" t="str">
        <f>HYPERLINK("https://zfin.org/ZDB-GENE-060503-431")</f>
        <v>https://zfin.org/ZDB-GENE-060503-431</v>
      </c>
      <c r="J76" t="s">
        <v>48</v>
      </c>
    </row>
    <row r="77" spans="1:10" x14ac:dyDescent="0.2">
      <c r="A77">
        <v>1.60608176474215E-12</v>
      </c>
      <c r="B77">
        <v>0.69467823884552304</v>
      </c>
      <c r="C77">
        <v>0.40100000000000002</v>
      </c>
      <c r="D77">
        <v>0.20300000000000001</v>
      </c>
      <c r="E77">
        <v>2.4866963963502699E-8</v>
      </c>
      <c r="F77" t="s">
        <v>1125</v>
      </c>
      <c r="G77" t="s">
        <v>1126</v>
      </c>
      <c r="H77" t="s">
        <v>1125</v>
      </c>
      <c r="I77" t="str">
        <f>HYPERLINK("https://zfin.org/ZDB-GENE-041114-44")</f>
        <v>https://zfin.org/ZDB-GENE-041114-44</v>
      </c>
      <c r="J77" t="s">
        <v>1124</v>
      </c>
    </row>
    <row r="78" spans="1:10" x14ac:dyDescent="0.2">
      <c r="A78">
        <v>2.77950916590867E-12</v>
      </c>
      <c r="B78">
        <v>0.56223940433905495</v>
      </c>
      <c r="C78">
        <v>0.187</v>
      </c>
      <c r="D78">
        <v>5.0999999999999997E-2</v>
      </c>
      <c r="E78">
        <v>4.3035140415763997E-8</v>
      </c>
      <c r="F78" t="s">
        <v>1122</v>
      </c>
      <c r="G78" t="s">
        <v>1123</v>
      </c>
      <c r="H78" t="s">
        <v>1122</v>
      </c>
      <c r="I78" t="str">
        <f>HYPERLINK("https://zfin.org/ZDB-GENE-050522-530")</f>
        <v>https://zfin.org/ZDB-GENE-050522-530</v>
      </c>
      <c r="J78" t="s">
        <v>1121</v>
      </c>
    </row>
    <row r="79" spans="1:10" x14ac:dyDescent="0.2">
      <c r="A79">
        <v>4.0912573576129004E-12</v>
      </c>
      <c r="B79">
        <v>0.60887298211323404</v>
      </c>
      <c r="C79">
        <v>0.28599999999999998</v>
      </c>
      <c r="D79">
        <v>0.112</v>
      </c>
      <c r="E79">
        <v>6.3344937667920603E-8</v>
      </c>
      <c r="F79" t="s">
        <v>1119</v>
      </c>
      <c r="G79" t="s">
        <v>1120</v>
      </c>
      <c r="H79" t="s">
        <v>1119</v>
      </c>
      <c r="I79" t="str">
        <f>HYPERLINK("https://zfin.org/ZDB-GENE-040426-1651")</f>
        <v>https://zfin.org/ZDB-GENE-040426-1651</v>
      </c>
      <c r="J79" t="s">
        <v>1118</v>
      </c>
    </row>
    <row r="80" spans="1:10" x14ac:dyDescent="0.2">
      <c r="A80">
        <v>4.5925337284230997E-12</v>
      </c>
      <c r="B80">
        <v>0.71676029569992294</v>
      </c>
      <c r="C80">
        <v>0.53300000000000003</v>
      </c>
      <c r="D80">
        <v>0.36799999999999999</v>
      </c>
      <c r="E80">
        <v>7.1106199717174904E-8</v>
      </c>
      <c r="F80" t="s">
        <v>1116</v>
      </c>
      <c r="G80" t="s">
        <v>1117</v>
      </c>
      <c r="H80" t="s">
        <v>1116</v>
      </c>
      <c r="I80" t="str">
        <f>HYPERLINK("https://zfin.org/ZDB-GENE-130625-1")</f>
        <v>https://zfin.org/ZDB-GENE-130625-1</v>
      </c>
      <c r="J80" t="s">
        <v>1115</v>
      </c>
    </row>
    <row r="81" spans="1:10" x14ac:dyDescent="0.2">
      <c r="A81">
        <v>4.7832529956204801E-12</v>
      </c>
      <c r="B81">
        <v>0.47005723062662602</v>
      </c>
      <c r="C81">
        <v>0.86799999999999999</v>
      </c>
      <c r="D81">
        <v>0.84</v>
      </c>
      <c r="E81">
        <v>7.4059106131191906E-8</v>
      </c>
      <c r="F81" t="s">
        <v>121</v>
      </c>
      <c r="G81" t="s">
        <v>122</v>
      </c>
      <c r="H81" t="s">
        <v>121</v>
      </c>
      <c r="I81" t="str">
        <f>HYPERLINK("https://zfin.org/ZDB-GENE-040426-2740")</f>
        <v>https://zfin.org/ZDB-GENE-040426-2740</v>
      </c>
      <c r="J81" t="s">
        <v>123</v>
      </c>
    </row>
    <row r="82" spans="1:10" x14ac:dyDescent="0.2">
      <c r="A82">
        <v>7.4570375139289396E-12</v>
      </c>
      <c r="B82">
        <v>0.77894984948155999</v>
      </c>
      <c r="C82">
        <v>0.54400000000000004</v>
      </c>
      <c r="D82">
        <v>0.38500000000000001</v>
      </c>
      <c r="E82">
        <v>1.15457311828162E-7</v>
      </c>
      <c r="F82" t="s">
        <v>1113</v>
      </c>
      <c r="G82" t="s">
        <v>1114</v>
      </c>
      <c r="H82" t="s">
        <v>1113</v>
      </c>
      <c r="I82" t="str">
        <f>HYPERLINK("https://zfin.org/ZDB-GENE-031116-61")</f>
        <v>https://zfin.org/ZDB-GENE-031116-61</v>
      </c>
      <c r="J82" t="s">
        <v>1112</v>
      </c>
    </row>
    <row r="83" spans="1:10" x14ac:dyDescent="0.2">
      <c r="A83">
        <v>1.2663930362936499E-11</v>
      </c>
      <c r="B83">
        <v>0.76615988352993702</v>
      </c>
      <c r="C83">
        <v>0.42899999999999999</v>
      </c>
      <c r="D83">
        <v>0.23300000000000001</v>
      </c>
      <c r="E83">
        <v>1.9607563380934499E-7</v>
      </c>
      <c r="F83" t="s">
        <v>1110</v>
      </c>
      <c r="G83" t="s">
        <v>1111</v>
      </c>
      <c r="H83" t="s">
        <v>1110</v>
      </c>
      <c r="I83" t="str">
        <f>HYPERLINK("https://zfin.org/ZDB-GENE-980526-144")</f>
        <v>https://zfin.org/ZDB-GENE-980526-144</v>
      </c>
      <c r="J83" t="s">
        <v>1109</v>
      </c>
    </row>
    <row r="84" spans="1:10" x14ac:dyDescent="0.2">
      <c r="A84">
        <v>1.8269745222319201E-11</v>
      </c>
      <c r="B84">
        <v>0.64744897239883703</v>
      </c>
      <c r="C84">
        <v>0.434</v>
      </c>
      <c r="D84">
        <v>0.24199999999999999</v>
      </c>
      <c r="E84">
        <v>2.8287046527716801E-7</v>
      </c>
      <c r="F84" t="s">
        <v>1107</v>
      </c>
      <c r="G84" t="s">
        <v>1108</v>
      </c>
      <c r="H84" t="s">
        <v>1107</v>
      </c>
      <c r="I84" t="str">
        <f>HYPERLINK("https://zfin.org/ZDB-GENE-060526-166")</f>
        <v>https://zfin.org/ZDB-GENE-060526-166</v>
      </c>
      <c r="J84" t="s">
        <v>1106</v>
      </c>
    </row>
    <row r="85" spans="1:10" x14ac:dyDescent="0.2">
      <c r="A85">
        <v>1.8308040560337099E-11</v>
      </c>
      <c r="B85">
        <v>0.43203810405277998</v>
      </c>
      <c r="C85">
        <v>0.115</v>
      </c>
      <c r="D85">
        <v>2.1000000000000001E-2</v>
      </c>
      <c r="E85">
        <v>2.8346339199569903E-7</v>
      </c>
      <c r="F85" t="s">
        <v>1104</v>
      </c>
      <c r="G85" t="s">
        <v>1105</v>
      </c>
      <c r="H85" t="s">
        <v>1104</v>
      </c>
      <c r="I85" t="str">
        <f>HYPERLINK("https://zfin.org/ZDB-GENE-060616-298")</f>
        <v>https://zfin.org/ZDB-GENE-060616-298</v>
      </c>
      <c r="J85" t="s">
        <v>1103</v>
      </c>
    </row>
    <row r="86" spans="1:10" x14ac:dyDescent="0.2">
      <c r="A86">
        <v>1.93241451152083E-11</v>
      </c>
      <c r="B86">
        <v>0.68924988305591595</v>
      </c>
      <c r="C86">
        <v>0.55500000000000005</v>
      </c>
      <c r="D86">
        <v>0.373</v>
      </c>
      <c r="E86">
        <v>2.9919573881876998E-7</v>
      </c>
      <c r="F86" t="s">
        <v>1101</v>
      </c>
      <c r="G86" t="s">
        <v>1102</v>
      </c>
      <c r="H86" t="s">
        <v>1101</v>
      </c>
      <c r="I86" t="str">
        <f>HYPERLINK("https://zfin.org/ZDB-GENE-030131-1334")</f>
        <v>https://zfin.org/ZDB-GENE-030131-1334</v>
      </c>
      <c r="J86" t="s">
        <v>1100</v>
      </c>
    </row>
    <row r="87" spans="1:10" x14ac:dyDescent="0.2">
      <c r="A87">
        <v>2.35674347490136E-11</v>
      </c>
      <c r="B87">
        <v>0.72248112189909197</v>
      </c>
      <c r="C87">
        <v>0.26400000000000001</v>
      </c>
      <c r="D87">
        <v>0.10299999999999999</v>
      </c>
      <c r="E87">
        <v>3.6489459221897799E-7</v>
      </c>
      <c r="F87" t="s">
        <v>1098</v>
      </c>
      <c r="G87" t="s">
        <v>1099</v>
      </c>
      <c r="H87" t="s">
        <v>1098</v>
      </c>
      <c r="I87" t="str">
        <f>HYPERLINK("https://zfin.org/ZDB-GENE-140106-14")</f>
        <v>https://zfin.org/ZDB-GENE-140106-14</v>
      </c>
      <c r="J87" t="s">
        <v>1097</v>
      </c>
    </row>
    <row r="88" spans="1:10" x14ac:dyDescent="0.2">
      <c r="A88">
        <v>2.7496765319972899E-11</v>
      </c>
      <c r="B88">
        <v>0.48847110810528899</v>
      </c>
      <c r="C88">
        <v>0.11</v>
      </c>
      <c r="D88">
        <v>1.9E-2</v>
      </c>
      <c r="E88">
        <v>4.2573241744914099E-7</v>
      </c>
      <c r="F88" t="s">
        <v>1095</v>
      </c>
      <c r="G88" t="s">
        <v>1096</v>
      </c>
      <c r="H88" t="s">
        <v>1095</v>
      </c>
      <c r="I88" t="str">
        <f>HYPERLINK("https://zfin.org/ZDB-GENE-131120-18")</f>
        <v>https://zfin.org/ZDB-GENE-131120-18</v>
      </c>
      <c r="J88" t="s">
        <v>1094</v>
      </c>
    </row>
    <row r="89" spans="1:10" x14ac:dyDescent="0.2">
      <c r="A89">
        <v>4.4541607486621002E-11</v>
      </c>
      <c r="B89">
        <v>0.310759624150931</v>
      </c>
      <c r="C89">
        <v>1</v>
      </c>
      <c r="D89">
        <v>0.99399999999999999</v>
      </c>
      <c r="E89">
        <v>6.8963770871535302E-7</v>
      </c>
      <c r="F89" t="s">
        <v>19</v>
      </c>
      <c r="G89" t="s">
        <v>20</v>
      </c>
      <c r="H89" t="s">
        <v>19</v>
      </c>
      <c r="I89" t="str">
        <f>HYPERLINK("https://zfin.org/ZDB-GENE-010328-2")</f>
        <v>https://zfin.org/ZDB-GENE-010328-2</v>
      </c>
      <c r="J89" t="s">
        <v>21</v>
      </c>
    </row>
    <row r="90" spans="1:10" x14ac:dyDescent="0.2">
      <c r="A90">
        <v>8.6965826373334301E-11</v>
      </c>
      <c r="B90">
        <v>0.68388326206697103</v>
      </c>
      <c r="C90">
        <v>0.56000000000000005</v>
      </c>
      <c r="D90">
        <v>0.39100000000000001</v>
      </c>
      <c r="E90">
        <v>1.3464918897383301E-6</v>
      </c>
      <c r="F90" t="s">
        <v>1092</v>
      </c>
      <c r="G90" t="s">
        <v>1093</v>
      </c>
      <c r="H90" t="s">
        <v>1092</v>
      </c>
      <c r="I90" t="str">
        <f>HYPERLINK("https://zfin.org/ZDB-GENE-030131-261")</f>
        <v>https://zfin.org/ZDB-GENE-030131-261</v>
      </c>
      <c r="J90" t="s">
        <v>1091</v>
      </c>
    </row>
    <row r="91" spans="1:10" x14ac:dyDescent="0.2">
      <c r="A91">
        <v>2.1991121343235499E-10</v>
      </c>
      <c r="B91">
        <v>0.62117502597648</v>
      </c>
      <c r="C91">
        <v>0.19800000000000001</v>
      </c>
      <c r="D91">
        <v>6.5000000000000002E-2</v>
      </c>
      <c r="E91">
        <v>3.4048853175731599E-6</v>
      </c>
      <c r="F91" t="s">
        <v>1090</v>
      </c>
      <c r="G91" t="s">
        <v>1089</v>
      </c>
      <c r="H91" t="s">
        <v>1088</v>
      </c>
      <c r="I91" t="str">
        <f>HYPERLINK("https://zfin.org/ZDB-GENE-060929-1090")</f>
        <v>https://zfin.org/ZDB-GENE-060929-1090</v>
      </c>
      <c r="J91" t="s">
        <v>1087</v>
      </c>
    </row>
    <row r="92" spans="1:10" x14ac:dyDescent="0.2">
      <c r="A92">
        <v>2.2551457147961301E-10</v>
      </c>
      <c r="B92">
        <v>0.40519412036172597</v>
      </c>
      <c r="C92">
        <v>0.81299999999999994</v>
      </c>
      <c r="D92">
        <v>0.65700000000000003</v>
      </c>
      <c r="E92">
        <v>3.4916421102188498E-6</v>
      </c>
      <c r="F92" t="s">
        <v>174</v>
      </c>
      <c r="G92" t="s">
        <v>175</v>
      </c>
      <c r="H92" t="s">
        <v>174</v>
      </c>
      <c r="I92" t="str">
        <f>HYPERLINK("https://zfin.org/ZDB-GENE-050308-1")</f>
        <v>https://zfin.org/ZDB-GENE-050308-1</v>
      </c>
      <c r="J92" t="s">
        <v>176</v>
      </c>
    </row>
    <row r="93" spans="1:10" x14ac:dyDescent="0.2">
      <c r="A93">
        <v>3.8096362960706898E-10</v>
      </c>
      <c r="B93">
        <v>0.67703676136761903</v>
      </c>
      <c r="C93">
        <v>0.51100000000000001</v>
      </c>
      <c r="D93">
        <v>0.34499999999999997</v>
      </c>
      <c r="E93">
        <v>5.8984598772062504E-6</v>
      </c>
      <c r="F93" t="s">
        <v>1085</v>
      </c>
      <c r="G93" t="s">
        <v>1086</v>
      </c>
      <c r="H93" t="s">
        <v>1085</v>
      </c>
      <c r="I93" t="str">
        <f>HYPERLINK("https://zfin.org/ZDB-GENE-030131-8719")</f>
        <v>https://zfin.org/ZDB-GENE-030131-8719</v>
      </c>
      <c r="J93" t="s">
        <v>1084</v>
      </c>
    </row>
    <row r="94" spans="1:10" x14ac:dyDescent="0.2">
      <c r="A94">
        <v>7.0424445102549697E-10</v>
      </c>
      <c r="B94">
        <v>0.47965158834689697</v>
      </c>
      <c r="C94">
        <v>0.13200000000000001</v>
      </c>
      <c r="D94">
        <v>3.2000000000000001E-2</v>
      </c>
      <c r="E94">
        <v>1.0903816835227799E-5</v>
      </c>
      <c r="F94" t="s">
        <v>1082</v>
      </c>
      <c r="G94" t="s">
        <v>1083</v>
      </c>
      <c r="H94" t="s">
        <v>1082</v>
      </c>
      <c r="I94" t="str">
        <f>HYPERLINK("https://zfin.org/ZDB-GENE-080425-5")</f>
        <v>https://zfin.org/ZDB-GENE-080425-5</v>
      </c>
      <c r="J94" t="s">
        <v>1081</v>
      </c>
    </row>
    <row r="95" spans="1:10" x14ac:dyDescent="0.2">
      <c r="A95">
        <v>8.3697015151852204E-10</v>
      </c>
      <c r="B95">
        <v>0.55375236418410601</v>
      </c>
      <c r="C95">
        <v>0.34100000000000003</v>
      </c>
      <c r="D95">
        <v>0.17100000000000001</v>
      </c>
      <c r="E95">
        <v>1.29588088559613E-5</v>
      </c>
      <c r="F95" t="s">
        <v>1080</v>
      </c>
      <c r="G95" t="s">
        <v>1079</v>
      </c>
      <c r="H95" t="s">
        <v>1078</v>
      </c>
      <c r="I95" t="str">
        <f>HYPERLINK("https://zfin.org/ZDB-GENE-040801-35")</f>
        <v>https://zfin.org/ZDB-GENE-040801-35</v>
      </c>
      <c r="J95" t="s">
        <v>1077</v>
      </c>
    </row>
    <row r="96" spans="1:10" x14ac:dyDescent="0.2">
      <c r="A96">
        <v>2.1120140301090298E-9</v>
      </c>
      <c r="B96">
        <v>0.64255038433344502</v>
      </c>
      <c r="C96">
        <v>0.45100000000000001</v>
      </c>
      <c r="D96">
        <v>0.28399999999999997</v>
      </c>
      <c r="E96">
        <v>3.2700313228178199E-5</v>
      </c>
      <c r="F96" t="s">
        <v>1075</v>
      </c>
      <c r="G96" t="s">
        <v>1076</v>
      </c>
      <c r="H96" t="s">
        <v>1075</v>
      </c>
      <c r="I96" t="str">
        <f>HYPERLINK("https://zfin.org/ZDB-GENE-060616-210")</f>
        <v>https://zfin.org/ZDB-GENE-060616-210</v>
      </c>
      <c r="J96" t="s">
        <v>1074</v>
      </c>
    </row>
    <row r="97" spans="1:10" x14ac:dyDescent="0.2">
      <c r="A97">
        <v>2.6730979854458998E-9</v>
      </c>
      <c r="B97">
        <v>0.62644498292263995</v>
      </c>
      <c r="C97">
        <v>0.39</v>
      </c>
      <c r="D97">
        <v>0.22700000000000001</v>
      </c>
      <c r="E97">
        <v>4.1387576108658902E-5</v>
      </c>
      <c r="F97" t="s">
        <v>1072</v>
      </c>
      <c r="G97" t="s">
        <v>1073</v>
      </c>
      <c r="H97" t="s">
        <v>1072</v>
      </c>
      <c r="I97" t="str">
        <f>HYPERLINK("https://zfin.org/ZDB-GENE-040426-2830")</f>
        <v>https://zfin.org/ZDB-GENE-040426-2830</v>
      </c>
      <c r="J97" t="s">
        <v>1071</v>
      </c>
    </row>
    <row r="98" spans="1:10" x14ac:dyDescent="0.2">
      <c r="A98">
        <v>3.2692256532076002E-9</v>
      </c>
      <c r="B98">
        <v>0.591838777432388</v>
      </c>
      <c r="C98">
        <v>0.32400000000000001</v>
      </c>
      <c r="D98">
        <v>0.17299999999999999</v>
      </c>
      <c r="E98">
        <v>5.0617420788613202E-5</v>
      </c>
      <c r="F98" t="s">
        <v>1069</v>
      </c>
      <c r="G98" t="s">
        <v>1070</v>
      </c>
      <c r="H98" t="s">
        <v>1069</v>
      </c>
      <c r="I98" t="str">
        <f>HYPERLINK("https://zfin.org/ZDB-GENE-040426-2500")</f>
        <v>https://zfin.org/ZDB-GENE-040426-2500</v>
      </c>
      <c r="J98" t="s">
        <v>1068</v>
      </c>
    </row>
    <row r="99" spans="1:10" x14ac:dyDescent="0.2">
      <c r="A99">
        <v>6.6188984170215997E-9</v>
      </c>
      <c r="B99">
        <v>0.57307379517998902</v>
      </c>
      <c r="C99">
        <v>0.247</v>
      </c>
      <c r="D99">
        <v>0.107</v>
      </c>
      <c r="E99">
        <v>1.02480404190745E-4</v>
      </c>
      <c r="F99" t="s">
        <v>1066</v>
      </c>
      <c r="G99" t="s">
        <v>1067</v>
      </c>
      <c r="H99" t="s">
        <v>1066</v>
      </c>
      <c r="I99" t="str">
        <f>HYPERLINK("https://zfin.org/ZDB-GENE-030131-913")</f>
        <v>https://zfin.org/ZDB-GENE-030131-913</v>
      </c>
      <c r="J99" t="s">
        <v>1065</v>
      </c>
    </row>
    <row r="100" spans="1:10" x14ac:dyDescent="0.2">
      <c r="A100">
        <v>6.7516582781548401E-9</v>
      </c>
      <c r="B100">
        <v>0.64987006678758197</v>
      </c>
      <c r="C100">
        <v>0.36799999999999999</v>
      </c>
      <c r="D100">
        <v>0.21199999999999999</v>
      </c>
      <c r="E100">
        <v>1.04535925120671E-4</v>
      </c>
      <c r="F100" t="s">
        <v>1063</v>
      </c>
      <c r="G100" t="s">
        <v>1064</v>
      </c>
      <c r="H100" t="s">
        <v>1063</v>
      </c>
      <c r="I100" t="str">
        <f>HYPERLINK("https://zfin.org/ZDB-GENE-091204-95")</f>
        <v>https://zfin.org/ZDB-GENE-091204-95</v>
      </c>
      <c r="J100" t="s">
        <v>1062</v>
      </c>
    </row>
    <row r="101" spans="1:10" x14ac:dyDescent="0.2">
      <c r="A101">
        <v>7.7861935417496202E-9</v>
      </c>
      <c r="B101">
        <v>0.27735844457472503</v>
      </c>
      <c r="C101">
        <v>1</v>
      </c>
      <c r="D101">
        <v>0.996</v>
      </c>
      <c r="E101">
        <v>1.20553634606909E-4</v>
      </c>
      <c r="F101" t="s">
        <v>16</v>
      </c>
      <c r="G101" t="s">
        <v>17</v>
      </c>
      <c r="H101" t="s">
        <v>16</v>
      </c>
      <c r="I101" t="str">
        <f>HYPERLINK("https://zfin.org/ZDB-GENE-061201-9")</f>
        <v>https://zfin.org/ZDB-GENE-061201-9</v>
      </c>
      <c r="J101" t="s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39314-519D-0B46-99BE-98844A8C62D0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9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4.6045711526499396E-62</v>
      </c>
      <c r="B2">
        <v>-1.6878329812755399</v>
      </c>
      <c r="C2">
        <v>0.747</v>
      </c>
      <c r="D2">
        <v>0.97099999999999997</v>
      </c>
      <c r="E2">
        <v>7.1292575156479093E-58</v>
      </c>
      <c r="F2" t="s">
        <v>52</v>
      </c>
      <c r="G2" t="s">
        <v>53</v>
      </c>
      <c r="H2" t="s">
        <v>52</v>
      </c>
      <c r="I2" t="str">
        <f>HYPERLINK("https://zfin.org/ZDB-GENE-040426-1508")</f>
        <v>https://zfin.org/ZDB-GENE-040426-1508</v>
      </c>
      <c r="J2" t="s">
        <v>54</v>
      </c>
    </row>
    <row r="3" spans="1:10" x14ac:dyDescent="0.2">
      <c r="A3">
        <v>2.4596197187187298E-47</v>
      </c>
      <c r="B3">
        <v>-2.2985256889510701</v>
      </c>
      <c r="C3">
        <v>0.30199999999999999</v>
      </c>
      <c r="D3">
        <v>0.80100000000000005</v>
      </c>
      <c r="E3">
        <v>3.8082292104922099E-43</v>
      </c>
      <c r="F3" t="s">
        <v>177</v>
      </c>
      <c r="G3" t="s">
        <v>178</v>
      </c>
      <c r="H3" t="s">
        <v>177</v>
      </c>
      <c r="I3" t="str">
        <f>HYPERLINK("https://zfin.org/ZDB-GENE-111109-2")</f>
        <v>https://zfin.org/ZDB-GENE-111109-2</v>
      </c>
      <c r="J3" t="s">
        <v>179</v>
      </c>
    </row>
    <row r="4" spans="1:10" x14ac:dyDescent="0.2">
      <c r="A4">
        <v>1.68483227730033E-38</v>
      </c>
      <c r="B4">
        <v>-1.9310360284955299</v>
      </c>
      <c r="C4">
        <v>0.44500000000000001</v>
      </c>
      <c r="D4">
        <v>0.84099999999999997</v>
      </c>
      <c r="E4">
        <v>2.6086258149441E-34</v>
      </c>
      <c r="F4" t="s">
        <v>219</v>
      </c>
      <c r="G4" t="s">
        <v>220</v>
      </c>
      <c r="H4" t="s">
        <v>219</v>
      </c>
      <c r="I4" t="str">
        <f>HYPERLINK("https://zfin.org/ZDB-GENE-121214-200")</f>
        <v>https://zfin.org/ZDB-GENE-121214-200</v>
      </c>
      <c r="J4" t="s">
        <v>221</v>
      </c>
    </row>
    <row r="5" spans="1:10" x14ac:dyDescent="0.2">
      <c r="A5">
        <v>5.1498487123550296E-38</v>
      </c>
      <c r="B5">
        <v>-1.7594147506187501</v>
      </c>
      <c r="C5">
        <v>0.11</v>
      </c>
      <c r="D5">
        <v>0.64700000000000002</v>
      </c>
      <c r="E5">
        <v>7.9735107613392906E-34</v>
      </c>
      <c r="F5" t="s">
        <v>261</v>
      </c>
      <c r="G5" t="s">
        <v>262</v>
      </c>
      <c r="H5" t="s">
        <v>261</v>
      </c>
      <c r="I5" t="str">
        <f>HYPERLINK("https://zfin.org/ZDB-GENE-030131-2159")</f>
        <v>https://zfin.org/ZDB-GENE-030131-2159</v>
      </c>
      <c r="J5" t="s">
        <v>263</v>
      </c>
    </row>
    <row r="6" spans="1:10" x14ac:dyDescent="0.2">
      <c r="A6">
        <v>9.1356757627350997E-38</v>
      </c>
      <c r="B6">
        <v>-1.3066001806427401</v>
      </c>
      <c r="C6">
        <v>0.13700000000000001</v>
      </c>
      <c r="D6">
        <v>0.69199999999999995</v>
      </c>
      <c r="E6">
        <v>1.4144766783442801E-33</v>
      </c>
      <c r="F6" t="s">
        <v>133</v>
      </c>
      <c r="G6" t="s">
        <v>134</v>
      </c>
      <c r="H6" t="s">
        <v>133</v>
      </c>
      <c r="I6" t="str">
        <f>HYPERLINK("https://zfin.org/")</f>
        <v>https://zfin.org/</v>
      </c>
    </row>
    <row r="7" spans="1:10" x14ac:dyDescent="0.2">
      <c r="A7">
        <v>2.1243936222806798E-37</v>
      </c>
      <c r="B7">
        <v>-0.73424367755449405</v>
      </c>
      <c r="C7">
        <v>1</v>
      </c>
      <c r="D7">
        <v>1</v>
      </c>
      <c r="E7">
        <v>3.2891986453771797E-33</v>
      </c>
      <c r="F7" t="s">
        <v>10</v>
      </c>
      <c r="G7" t="s">
        <v>11</v>
      </c>
      <c r="H7" t="s">
        <v>10</v>
      </c>
      <c r="I7" t="str">
        <f>HYPERLINK("https://zfin.org/ZDB-GENE-080225-18")</f>
        <v>https://zfin.org/ZDB-GENE-080225-18</v>
      </c>
      <c r="J7" t="s">
        <v>12</v>
      </c>
    </row>
    <row r="8" spans="1:10" x14ac:dyDescent="0.2">
      <c r="A8">
        <v>1.37554545087175E-36</v>
      </c>
      <c r="B8">
        <v>-1.35478477309189</v>
      </c>
      <c r="C8">
        <v>8.7999999999999995E-2</v>
      </c>
      <c r="D8">
        <v>0.63200000000000001</v>
      </c>
      <c r="E8">
        <v>2.12975702158473E-32</v>
      </c>
      <c r="F8" t="s">
        <v>282</v>
      </c>
      <c r="G8" t="s">
        <v>283</v>
      </c>
      <c r="H8" t="s">
        <v>282</v>
      </c>
      <c r="I8" t="str">
        <f>HYPERLINK("https://zfin.org/ZDB-GENE-041114-138")</f>
        <v>https://zfin.org/ZDB-GENE-041114-138</v>
      </c>
      <c r="J8" t="s">
        <v>284</v>
      </c>
    </row>
    <row r="9" spans="1:10" x14ac:dyDescent="0.2">
      <c r="A9">
        <v>1.7256004731878699E-36</v>
      </c>
      <c r="B9">
        <v>-1.0457898507822001</v>
      </c>
      <c r="C9">
        <v>0.42899999999999999</v>
      </c>
      <c r="D9">
        <v>0.872</v>
      </c>
      <c r="E9">
        <v>2.6717472126367803E-32</v>
      </c>
      <c r="F9" t="s">
        <v>94</v>
      </c>
      <c r="G9" t="s">
        <v>95</v>
      </c>
      <c r="H9" t="s">
        <v>94</v>
      </c>
      <c r="I9" t="str">
        <f>HYPERLINK("https://zfin.org/ZDB-GENE-010129-1")</f>
        <v>https://zfin.org/ZDB-GENE-010129-1</v>
      </c>
      <c r="J9" t="s">
        <v>96</v>
      </c>
    </row>
    <row r="10" spans="1:10" x14ac:dyDescent="0.2">
      <c r="A10">
        <v>6.8228394656359896E-35</v>
      </c>
      <c r="B10">
        <v>-2.59673822171291</v>
      </c>
      <c r="C10">
        <v>0.46700000000000003</v>
      </c>
      <c r="D10">
        <v>0.82199999999999995</v>
      </c>
      <c r="E10">
        <v>1.0563802344644199E-30</v>
      </c>
      <c r="F10" t="s">
        <v>1485</v>
      </c>
      <c r="G10" t="s">
        <v>1486</v>
      </c>
      <c r="H10" t="s">
        <v>1485</v>
      </c>
      <c r="I10" t="str">
        <f>HYPERLINK("https://zfin.org/ZDB-GENE-070705-532")</f>
        <v>https://zfin.org/ZDB-GENE-070705-532</v>
      </c>
      <c r="J10" t="s">
        <v>1484</v>
      </c>
    </row>
    <row r="11" spans="1:10" x14ac:dyDescent="0.2">
      <c r="A11">
        <v>2.99445115184902E-33</v>
      </c>
      <c r="B11">
        <v>-1.61333994213706</v>
      </c>
      <c r="C11">
        <v>0.154</v>
      </c>
      <c r="D11">
        <v>0.63500000000000001</v>
      </c>
      <c r="E11">
        <v>4.6363087184078303E-29</v>
      </c>
      <c r="F11" t="s">
        <v>306</v>
      </c>
      <c r="G11" t="s">
        <v>307</v>
      </c>
      <c r="H11" t="s">
        <v>306</v>
      </c>
      <c r="I11" t="str">
        <f>HYPERLINK("https://zfin.org/ZDB-GENE-141215-49")</f>
        <v>https://zfin.org/ZDB-GENE-141215-49</v>
      </c>
      <c r="J11" t="s">
        <v>308</v>
      </c>
    </row>
    <row r="12" spans="1:10" x14ac:dyDescent="0.2">
      <c r="A12">
        <v>3.3957749549910599E-31</v>
      </c>
      <c r="B12">
        <v>-1.3876443677430499</v>
      </c>
      <c r="C12">
        <v>0.22500000000000001</v>
      </c>
      <c r="D12">
        <v>0.68100000000000005</v>
      </c>
      <c r="E12">
        <v>5.2576783628126597E-27</v>
      </c>
      <c r="F12" t="s">
        <v>1482</v>
      </c>
      <c r="G12" t="s">
        <v>1483</v>
      </c>
      <c r="H12" t="s">
        <v>1482</v>
      </c>
      <c r="I12" t="str">
        <f>HYPERLINK("https://zfin.org/ZDB-GENE-040426-2826")</f>
        <v>https://zfin.org/ZDB-GENE-040426-2826</v>
      </c>
      <c r="J12" t="s">
        <v>1481</v>
      </c>
    </row>
    <row r="13" spans="1:10" x14ac:dyDescent="0.2">
      <c r="A13">
        <v>1.41751469621152E-28</v>
      </c>
      <c r="B13">
        <v>-2.3123097862682398</v>
      </c>
      <c r="C13">
        <v>0.83499999999999996</v>
      </c>
      <c r="D13">
        <v>0.95299999999999996</v>
      </c>
      <c r="E13">
        <v>2.1947380041443001E-24</v>
      </c>
      <c r="F13" t="s">
        <v>1479</v>
      </c>
      <c r="G13" t="s">
        <v>1480</v>
      </c>
      <c r="H13" t="s">
        <v>1479</v>
      </c>
      <c r="I13" t="str">
        <f>HYPERLINK("https://zfin.org/ZDB-GENE-121214-193")</f>
        <v>https://zfin.org/ZDB-GENE-121214-193</v>
      </c>
      <c r="J13" t="s">
        <v>1478</v>
      </c>
    </row>
    <row r="14" spans="1:10" x14ac:dyDescent="0.2">
      <c r="A14">
        <v>1.4662250698031901E-26</v>
      </c>
      <c r="B14">
        <v>-0.72792634486541297</v>
      </c>
      <c r="C14">
        <v>0.56000000000000005</v>
      </c>
      <c r="D14">
        <v>0.88800000000000001</v>
      </c>
      <c r="E14">
        <v>2.2701562755762802E-22</v>
      </c>
      <c r="F14" t="s">
        <v>162</v>
      </c>
      <c r="G14" t="s">
        <v>163</v>
      </c>
      <c r="H14" t="s">
        <v>162</v>
      </c>
      <c r="I14" t="str">
        <f>HYPERLINK("https://zfin.org/ZDB-GENE-050307-5")</f>
        <v>https://zfin.org/ZDB-GENE-050307-5</v>
      </c>
      <c r="J14" t="s">
        <v>164</v>
      </c>
    </row>
    <row r="15" spans="1:10" x14ac:dyDescent="0.2">
      <c r="A15">
        <v>1.77930279986863E-26</v>
      </c>
      <c r="B15">
        <v>-0.71765531475435596</v>
      </c>
      <c r="C15">
        <v>0.76400000000000001</v>
      </c>
      <c r="D15">
        <v>0.93</v>
      </c>
      <c r="E15">
        <v>2.7548945250365901E-22</v>
      </c>
      <c r="F15" t="s">
        <v>49</v>
      </c>
      <c r="G15" t="s">
        <v>50</v>
      </c>
      <c r="H15" t="s">
        <v>49</v>
      </c>
      <c r="I15" t="str">
        <f>HYPERLINK("https://zfin.org/ZDB-GENE-031002-9")</f>
        <v>https://zfin.org/ZDB-GENE-031002-9</v>
      </c>
      <c r="J15" t="s">
        <v>51</v>
      </c>
    </row>
    <row r="16" spans="1:10" x14ac:dyDescent="0.2">
      <c r="A16">
        <v>1.0372877597027799E-25</v>
      </c>
      <c r="B16">
        <v>-1.2243712166962499</v>
      </c>
      <c r="C16">
        <v>0.32400000000000001</v>
      </c>
      <c r="D16">
        <v>0.69699999999999995</v>
      </c>
      <c r="E16">
        <v>1.6060326383478099E-21</v>
      </c>
      <c r="F16" t="s">
        <v>1476</v>
      </c>
      <c r="G16" t="s">
        <v>1477</v>
      </c>
      <c r="H16" t="s">
        <v>1476</v>
      </c>
      <c r="I16" t="str">
        <f>HYPERLINK("https://zfin.org/ZDB-GENE-000619-1")</f>
        <v>https://zfin.org/ZDB-GENE-000619-1</v>
      </c>
      <c r="J16" t="s">
        <v>1475</v>
      </c>
    </row>
    <row r="17" spans="1:10" x14ac:dyDescent="0.2">
      <c r="A17">
        <v>2.7481201281955002E-25</v>
      </c>
      <c r="B17">
        <v>-1.49440634138748</v>
      </c>
      <c r="C17">
        <v>0.13200000000000001</v>
      </c>
      <c r="D17">
        <v>0.56100000000000005</v>
      </c>
      <c r="E17">
        <v>4.2549143944850899E-21</v>
      </c>
      <c r="F17" t="s">
        <v>1473</v>
      </c>
      <c r="G17" t="s">
        <v>1474</v>
      </c>
      <c r="H17" t="s">
        <v>1473</v>
      </c>
      <c r="I17" t="str">
        <f>HYPERLINK("https://zfin.org/ZDB-GENE-080917-47")</f>
        <v>https://zfin.org/ZDB-GENE-080917-47</v>
      </c>
      <c r="J17" t="s">
        <v>1472</v>
      </c>
    </row>
    <row r="18" spans="1:10" x14ac:dyDescent="0.2">
      <c r="A18">
        <v>2.87858890703186E-25</v>
      </c>
      <c r="B18">
        <v>-1.2831085867299299</v>
      </c>
      <c r="C18">
        <v>0.14799999999999999</v>
      </c>
      <c r="D18">
        <v>0.57899999999999996</v>
      </c>
      <c r="E18">
        <v>4.45691920475744E-21</v>
      </c>
      <c r="F18" t="s">
        <v>1470</v>
      </c>
      <c r="G18" t="s">
        <v>1471</v>
      </c>
      <c r="H18" t="s">
        <v>1470</v>
      </c>
      <c r="I18" t="str">
        <f>HYPERLINK("https://zfin.org/ZDB-GENE-031112-4")</f>
        <v>https://zfin.org/ZDB-GENE-031112-4</v>
      </c>
      <c r="J18" t="s">
        <v>1469</v>
      </c>
    </row>
    <row r="19" spans="1:10" x14ac:dyDescent="0.2">
      <c r="A19">
        <v>5.6244276961789204E-23</v>
      </c>
      <c r="B19">
        <v>-1.08809998907335</v>
      </c>
      <c r="C19">
        <v>0.06</v>
      </c>
      <c r="D19">
        <v>0.46300000000000002</v>
      </c>
      <c r="E19">
        <v>8.7083014019938091E-19</v>
      </c>
      <c r="F19" t="s">
        <v>1467</v>
      </c>
      <c r="G19" t="s">
        <v>1468</v>
      </c>
      <c r="H19" t="s">
        <v>1467</v>
      </c>
      <c r="I19" t="str">
        <f>HYPERLINK("https://zfin.org/ZDB-GENE-050417-338")</f>
        <v>https://zfin.org/ZDB-GENE-050417-338</v>
      </c>
      <c r="J19" t="s">
        <v>1466</v>
      </c>
    </row>
    <row r="20" spans="1:10" x14ac:dyDescent="0.2">
      <c r="A20">
        <v>1.2903072252158601E-21</v>
      </c>
      <c r="B20">
        <v>-1.33242933976867</v>
      </c>
      <c r="C20">
        <v>0.154</v>
      </c>
      <c r="D20">
        <v>0.53400000000000003</v>
      </c>
      <c r="E20">
        <v>1.99778267680171E-17</v>
      </c>
      <c r="F20" t="s">
        <v>1464</v>
      </c>
      <c r="G20" t="s">
        <v>1465</v>
      </c>
      <c r="H20" t="s">
        <v>1464</v>
      </c>
      <c r="I20" t="str">
        <f>HYPERLINK("https://zfin.org/ZDB-GENE-080829-12")</f>
        <v>https://zfin.org/ZDB-GENE-080829-12</v>
      </c>
      <c r="J20" t="s">
        <v>1463</v>
      </c>
    </row>
    <row r="21" spans="1:10" x14ac:dyDescent="0.2">
      <c r="A21">
        <v>1.7062090170336899E-21</v>
      </c>
      <c r="B21">
        <v>-1.2956894931363501</v>
      </c>
      <c r="C21">
        <v>5.5E-2</v>
      </c>
      <c r="D21">
        <v>0.42899999999999999</v>
      </c>
      <c r="E21">
        <v>2.6417234210732599E-17</v>
      </c>
      <c r="F21" t="s">
        <v>1461</v>
      </c>
      <c r="G21" t="s">
        <v>1462</v>
      </c>
      <c r="H21" t="s">
        <v>1461</v>
      </c>
      <c r="I21" t="str">
        <f>HYPERLINK("https://zfin.org/ZDB-GENE-980605-16")</f>
        <v>https://zfin.org/ZDB-GENE-980605-16</v>
      </c>
      <c r="J21" t="s">
        <v>1460</v>
      </c>
    </row>
    <row r="22" spans="1:10" x14ac:dyDescent="0.2">
      <c r="A22">
        <v>5.3455723734329101E-21</v>
      </c>
      <c r="B22">
        <v>-0.95080649118755001</v>
      </c>
      <c r="C22">
        <v>0.23599999999999999</v>
      </c>
      <c r="D22">
        <v>0.61699999999999999</v>
      </c>
      <c r="E22">
        <v>8.27654970578618E-17</v>
      </c>
      <c r="F22" t="s">
        <v>1458</v>
      </c>
      <c r="G22" t="s">
        <v>1459</v>
      </c>
      <c r="H22" t="s">
        <v>1458</v>
      </c>
      <c r="I22" t="str">
        <f>HYPERLINK("https://zfin.org/ZDB-GENE-030131-9")</f>
        <v>https://zfin.org/ZDB-GENE-030131-9</v>
      </c>
      <c r="J22" t="s">
        <v>1457</v>
      </c>
    </row>
    <row r="23" spans="1:10" x14ac:dyDescent="0.2">
      <c r="A23">
        <v>1.90132228877766E-20</v>
      </c>
      <c r="B23">
        <v>-0.41712443711013197</v>
      </c>
      <c r="C23">
        <v>0.97799999999999998</v>
      </c>
      <c r="D23">
        <v>0.99199999999999999</v>
      </c>
      <c r="E23">
        <v>2.9438172997144402E-16</v>
      </c>
      <c r="F23" t="s">
        <v>1026</v>
      </c>
      <c r="G23" t="s">
        <v>1027</v>
      </c>
      <c r="H23" t="s">
        <v>1026</v>
      </c>
      <c r="I23" t="str">
        <f>HYPERLINK("https://zfin.org/ZDB-GENE-040426-2284")</f>
        <v>https://zfin.org/ZDB-GENE-040426-2284</v>
      </c>
      <c r="J23" t="s">
        <v>1025</v>
      </c>
    </row>
    <row r="24" spans="1:10" x14ac:dyDescent="0.2">
      <c r="A24">
        <v>6.8332947965484799E-20</v>
      </c>
      <c r="B24">
        <v>-0.47377876049119699</v>
      </c>
      <c r="C24">
        <v>0.92900000000000005</v>
      </c>
      <c r="D24">
        <v>0.97699999999999998</v>
      </c>
      <c r="E24">
        <v>1.0579990333496001E-15</v>
      </c>
      <c r="F24" t="s">
        <v>291</v>
      </c>
      <c r="G24" t="s">
        <v>292</v>
      </c>
      <c r="H24" t="s">
        <v>291</v>
      </c>
      <c r="I24" t="str">
        <f>HYPERLINK("https://zfin.org/ZDB-GENE-070327-2")</f>
        <v>https://zfin.org/ZDB-GENE-070327-2</v>
      </c>
      <c r="J24" t="s">
        <v>293</v>
      </c>
    </row>
    <row r="25" spans="1:10" x14ac:dyDescent="0.2">
      <c r="A25">
        <v>2.8363426913736199E-19</v>
      </c>
      <c r="B25">
        <v>-1.4259959193245999</v>
      </c>
      <c r="C25">
        <v>0.06</v>
      </c>
      <c r="D25">
        <v>0.40300000000000002</v>
      </c>
      <c r="E25">
        <v>4.3915093890537798E-15</v>
      </c>
      <c r="F25" t="s">
        <v>1455</v>
      </c>
      <c r="G25" t="s">
        <v>1456</v>
      </c>
      <c r="H25" t="s">
        <v>1455</v>
      </c>
      <c r="I25" t="str">
        <f>HYPERLINK("https://zfin.org/")</f>
        <v>https://zfin.org/</v>
      </c>
    </row>
    <row r="26" spans="1:10" x14ac:dyDescent="0.2">
      <c r="A26">
        <v>5.1502874098973096E-19</v>
      </c>
      <c r="B26">
        <v>-1.18317736552688</v>
      </c>
      <c r="C26">
        <v>2.7E-2</v>
      </c>
      <c r="D26">
        <v>0.36399999999999999</v>
      </c>
      <c r="E26">
        <v>7.9741899967439998E-15</v>
      </c>
      <c r="F26" t="s">
        <v>1453</v>
      </c>
      <c r="G26" t="s">
        <v>1454</v>
      </c>
      <c r="H26" t="s">
        <v>1453</v>
      </c>
      <c r="I26" t="str">
        <f>HYPERLINK("https://zfin.org/")</f>
        <v>https://zfin.org/</v>
      </c>
    </row>
    <row r="27" spans="1:10" x14ac:dyDescent="0.2">
      <c r="A27">
        <v>2.6698565155707399E-18</v>
      </c>
      <c r="B27">
        <v>-0.853982273592512</v>
      </c>
      <c r="C27">
        <v>0.25800000000000001</v>
      </c>
      <c r="D27">
        <v>0.623</v>
      </c>
      <c r="E27">
        <v>4.1337388430581702E-14</v>
      </c>
      <c r="F27" t="s">
        <v>264</v>
      </c>
      <c r="G27" t="s">
        <v>265</v>
      </c>
      <c r="H27" t="s">
        <v>264</v>
      </c>
      <c r="I27" t="str">
        <f>HYPERLINK("https://zfin.org/ZDB-GENE-050320-109")</f>
        <v>https://zfin.org/ZDB-GENE-050320-109</v>
      </c>
      <c r="J27" t="s">
        <v>266</v>
      </c>
    </row>
    <row r="28" spans="1:10" x14ac:dyDescent="0.2">
      <c r="A28">
        <v>4.5426349885223202E-18</v>
      </c>
      <c r="B28">
        <v>-0.57621757036133203</v>
      </c>
      <c r="C28">
        <v>0.66500000000000004</v>
      </c>
      <c r="D28">
        <v>0.873</v>
      </c>
      <c r="E28">
        <v>7.0333617527291101E-14</v>
      </c>
      <c r="F28" t="s">
        <v>118</v>
      </c>
      <c r="G28" t="s">
        <v>119</v>
      </c>
      <c r="H28" t="s">
        <v>118</v>
      </c>
      <c r="I28" t="str">
        <f>HYPERLINK("https://zfin.org/ZDB-GENE-030410-1")</f>
        <v>https://zfin.org/ZDB-GENE-030410-1</v>
      </c>
      <c r="J28" t="s">
        <v>120</v>
      </c>
    </row>
    <row r="29" spans="1:10" x14ac:dyDescent="0.2">
      <c r="A29">
        <v>7.7416931807360496E-18</v>
      </c>
      <c r="B29">
        <v>-0.56823843375197303</v>
      </c>
      <c r="C29">
        <v>0.65900000000000003</v>
      </c>
      <c r="D29">
        <v>0.87</v>
      </c>
      <c r="E29">
        <v>1.19864635517336E-13</v>
      </c>
      <c r="F29" t="s">
        <v>144</v>
      </c>
      <c r="G29" t="s">
        <v>145</v>
      </c>
      <c r="H29" t="s">
        <v>144</v>
      </c>
      <c r="I29" t="str">
        <f>HYPERLINK("https://zfin.org/ZDB-GENE-040426-1955")</f>
        <v>https://zfin.org/ZDB-GENE-040426-1955</v>
      </c>
      <c r="J29" t="s">
        <v>146</v>
      </c>
    </row>
    <row r="30" spans="1:10" x14ac:dyDescent="0.2">
      <c r="A30">
        <v>3.60102457673755E-17</v>
      </c>
      <c r="B30">
        <v>-0.96782713651645502</v>
      </c>
      <c r="C30">
        <v>3.3000000000000002E-2</v>
      </c>
      <c r="D30">
        <v>0.34300000000000003</v>
      </c>
      <c r="E30">
        <v>5.5754663521627495E-13</v>
      </c>
      <c r="F30" t="s">
        <v>1451</v>
      </c>
      <c r="G30" t="s">
        <v>1452</v>
      </c>
      <c r="H30" t="s">
        <v>1451</v>
      </c>
      <c r="I30" t="str">
        <f>HYPERLINK("https://zfin.org/ZDB-GENE-001212-5")</f>
        <v>https://zfin.org/ZDB-GENE-001212-5</v>
      </c>
      <c r="J30" t="s">
        <v>1450</v>
      </c>
    </row>
    <row r="31" spans="1:10" x14ac:dyDescent="0.2">
      <c r="A31">
        <v>1.66166224533126E-16</v>
      </c>
      <c r="B31">
        <v>-0.77145380355687099</v>
      </c>
      <c r="C31">
        <v>5.5E-2</v>
      </c>
      <c r="D31">
        <v>0.373</v>
      </c>
      <c r="E31">
        <v>2.5727516544463899E-12</v>
      </c>
      <c r="F31" t="s">
        <v>1448</v>
      </c>
      <c r="G31" t="s">
        <v>1449</v>
      </c>
      <c r="H31" t="s">
        <v>1448</v>
      </c>
      <c r="I31" t="str">
        <f>HYPERLINK("https://zfin.org/ZDB-GENE-070719-5")</f>
        <v>https://zfin.org/ZDB-GENE-070719-5</v>
      </c>
      <c r="J31" t="s">
        <v>1447</v>
      </c>
    </row>
    <row r="32" spans="1:10" x14ac:dyDescent="0.2">
      <c r="A32">
        <v>2.1993896679560701E-16</v>
      </c>
      <c r="B32">
        <v>-0.58262081759400597</v>
      </c>
      <c r="C32">
        <v>0.72499999999999998</v>
      </c>
      <c r="D32">
        <v>0.91400000000000003</v>
      </c>
      <c r="E32">
        <v>3.4053150228963802E-12</v>
      </c>
      <c r="F32" t="s">
        <v>76</v>
      </c>
      <c r="G32" t="s">
        <v>77</v>
      </c>
      <c r="H32" t="s">
        <v>76</v>
      </c>
      <c r="I32" t="str">
        <f>HYPERLINK("https://zfin.org/ZDB-GENE-031001-11")</f>
        <v>https://zfin.org/ZDB-GENE-031001-11</v>
      </c>
      <c r="J32" t="s">
        <v>78</v>
      </c>
    </row>
    <row r="33" spans="1:10" x14ac:dyDescent="0.2">
      <c r="A33">
        <v>5.3236439089714097E-16</v>
      </c>
      <c r="B33">
        <v>-0.70345398205556897</v>
      </c>
      <c r="C33">
        <v>0.17</v>
      </c>
      <c r="D33">
        <v>0.51200000000000001</v>
      </c>
      <c r="E33">
        <v>8.2425978642604298E-12</v>
      </c>
      <c r="F33" t="s">
        <v>1445</v>
      </c>
      <c r="G33" t="s">
        <v>1446</v>
      </c>
      <c r="H33" t="s">
        <v>1445</v>
      </c>
      <c r="I33" t="str">
        <f>HYPERLINK("https://zfin.org/ZDB-GENE-041210-191")</f>
        <v>https://zfin.org/ZDB-GENE-041210-191</v>
      </c>
      <c r="J33" t="s">
        <v>1444</v>
      </c>
    </row>
    <row r="34" spans="1:10" x14ac:dyDescent="0.2">
      <c r="A34">
        <v>1.5878004457250001E-15</v>
      </c>
      <c r="B34">
        <v>-0.80369757513581197</v>
      </c>
      <c r="C34">
        <v>2.1999999999999999E-2</v>
      </c>
      <c r="D34">
        <v>0.309</v>
      </c>
      <c r="E34">
        <v>2.45839143011602E-11</v>
      </c>
      <c r="F34" t="s">
        <v>1442</v>
      </c>
      <c r="G34" t="s">
        <v>1443</v>
      </c>
      <c r="H34" t="s">
        <v>1442</v>
      </c>
      <c r="I34" t="str">
        <f>HYPERLINK("https://zfin.org/ZDB-GENE-041130-1")</f>
        <v>https://zfin.org/ZDB-GENE-041130-1</v>
      </c>
      <c r="J34" t="s">
        <v>1441</v>
      </c>
    </row>
    <row r="35" spans="1:10" x14ac:dyDescent="0.2">
      <c r="A35">
        <v>1.8247799547323198E-15</v>
      </c>
      <c r="B35">
        <v>-0.45789606404729299</v>
      </c>
      <c r="C35">
        <v>0.89</v>
      </c>
      <c r="D35">
        <v>0.97899999999999998</v>
      </c>
      <c r="E35">
        <v>2.8253068039120599E-11</v>
      </c>
      <c r="F35" t="s">
        <v>1439</v>
      </c>
      <c r="G35" t="s">
        <v>1440</v>
      </c>
      <c r="H35" t="s">
        <v>1439</v>
      </c>
      <c r="I35" t="str">
        <f>HYPERLINK("https://zfin.org/ZDB-GENE-030131-9744")</f>
        <v>https://zfin.org/ZDB-GENE-030131-9744</v>
      </c>
      <c r="J35" t="s">
        <v>1438</v>
      </c>
    </row>
    <row r="36" spans="1:10" x14ac:dyDescent="0.2">
      <c r="A36">
        <v>3.2088868553173301E-15</v>
      </c>
      <c r="B36">
        <v>-0.94612267193305799</v>
      </c>
      <c r="C36">
        <v>0.06</v>
      </c>
      <c r="D36">
        <v>0.36</v>
      </c>
      <c r="E36">
        <v>4.9683195180878298E-11</v>
      </c>
      <c r="F36" t="s">
        <v>1436</v>
      </c>
      <c r="G36" t="s">
        <v>1437</v>
      </c>
      <c r="H36" t="s">
        <v>1436</v>
      </c>
      <c r="I36" t="str">
        <f>HYPERLINK("https://zfin.org/ZDB-GENE-070112-292")</f>
        <v>https://zfin.org/ZDB-GENE-070112-292</v>
      </c>
      <c r="J36" t="s">
        <v>1435</v>
      </c>
    </row>
    <row r="37" spans="1:10" x14ac:dyDescent="0.2">
      <c r="A37">
        <v>3.4026873690440199E-15</v>
      </c>
      <c r="B37">
        <v>-1.2734940138412001</v>
      </c>
      <c r="C37">
        <v>7.0999999999999994E-2</v>
      </c>
      <c r="D37">
        <v>0.36299999999999999</v>
      </c>
      <c r="E37">
        <v>5.2683808534908499E-11</v>
      </c>
      <c r="F37" t="s">
        <v>1433</v>
      </c>
      <c r="G37" t="s">
        <v>1434</v>
      </c>
      <c r="H37" t="s">
        <v>1433</v>
      </c>
      <c r="I37" t="str">
        <f>HYPERLINK("https://zfin.org/ZDB-GENE-070720-11")</f>
        <v>https://zfin.org/ZDB-GENE-070720-11</v>
      </c>
      <c r="J37" t="s">
        <v>1432</v>
      </c>
    </row>
    <row r="38" spans="1:10" x14ac:dyDescent="0.2">
      <c r="A38">
        <v>6.2060656468498799E-15</v>
      </c>
      <c r="B38">
        <v>-0.76228960375311605</v>
      </c>
      <c r="C38">
        <v>0.19800000000000001</v>
      </c>
      <c r="D38">
        <v>0.50800000000000001</v>
      </c>
      <c r="E38">
        <v>9.6088514410176606E-11</v>
      </c>
      <c r="F38" t="s">
        <v>1430</v>
      </c>
      <c r="G38" t="s">
        <v>1431</v>
      </c>
      <c r="H38" t="s">
        <v>1430</v>
      </c>
      <c r="I38" t="str">
        <f>HYPERLINK("https://zfin.org/ZDB-GENE-030829-65")</f>
        <v>https://zfin.org/ZDB-GENE-030829-65</v>
      </c>
      <c r="J38" t="s">
        <v>1429</v>
      </c>
    </row>
    <row r="39" spans="1:10" x14ac:dyDescent="0.2">
      <c r="A39">
        <v>6.2437195045604101E-15</v>
      </c>
      <c r="B39">
        <v>-0.954512166104732</v>
      </c>
      <c r="C39">
        <v>0.06</v>
      </c>
      <c r="D39">
        <v>0.35199999999999998</v>
      </c>
      <c r="E39">
        <v>9.6671509089108806E-11</v>
      </c>
      <c r="F39" t="s">
        <v>1427</v>
      </c>
      <c r="G39" t="s">
        <v>1428</v>
      </c>
      <c r="H39" t="s">
        <v>1427</v>
      </c>
      <c r="I39" t="str">
        <f>HYPERLINK("https://zfin.org/ZDB-GENE-061103-355")</f>
        <v>https://zfin.org/ZDB-GENE-061103-355</v>
      </c>
      <c r="J39" t="s">
        <v>1426</v>
      </c>
    </row>
    <row r="40" spans="1:10" x14ac:dyDescent="0.2">
      <c r="A40">
        <v>6.7020121827546903E-15</v>
      </c>
      <c r="B40">
        <v>-0.68601839654716201</v>
      </c>
      <c r="C40">
        <v>0.126</v>
      </c>
      <c r="D40">
        <v>0.45200000000000001</v>
      </c>
      <c r="E40">
        <v>1.03767254625591E-10</v>
      </c>
      <c r="F40" t="s">
        <v>1424</v>
      </c>
      <c r="G40" t="s">
        <v>1425</v>
      </c>
      <c r="H40" t="s">
        <v>1424</v>
      </c>
      <c r="I40" t="str">
        <f>HYPERLINK("https://zfin.org/ZDB-GENE-030131-5283")</f>
        <v>https://zfin.org/ZDB-GENE-030131-5283</v>
      </c>
      <c r="J40" t="s">
        <v>1423</v>
      </c>
    </row>
    <row r="41" spans="1:10" x14ac:dyDescent="0.2">
      <c r="A41">
        <v>1.33080825742261E-14</v>
      </c>
      <c r="B41">
        <v>-0.88943238195920604</v>
      </c>
      <c r="C41">
        <v>2.1999999999999999E-2</v>
      </c>
      <c r="D41">
        <v>0.29199999999999998</v>
      </c>
      <c r="E41">
        <v>2.06049042496743E-10</v>
      </c>
      <c r="F41" t="s">
        <v>1421</v>
      </c>
      <c r="G41" t="s">
        <v>1422</v>
      </c>
      <c r="H41" t="s">
        <v>1421</v>
      </c>
      <c r="I41" t="str">
        <f>HYPERLINK("https://zfin.org/ZDB-GENE-070705-193")</f>
        <v>https://zfin.org/ZDB-GENE-070705-193</v>
      </c>
      <c r="J41" t="s">
        <v>1420</v>
      </c>
    </row>
    <row r="42" spans="1:10" x14ac:dyDescent="0.2">
      <c r="A42">
        <v>1.51551181435286E-14</v>
      </c>
      <c r="B42">
        <v>-0.59888551147282199</v>
      </c>
      <c r="C42">
        <v>0.34599999999999997</v>
      </c>
      <c r="D42">
        <v>0.67500000000000004</v>
      </c>
      <c r="E42">
        <v>2.3464669421625301E-10</v>
      </c>
      <c r="F42" t="s">
        <v>1418</v>
      </c>
      <c r="G42" t="s">
        <v>1419</v>
      </c>
      <c r="H42" t="s">
        <v>1418</v>
      </c>
      <c r="I42" t="str">
        <f>HYPERLINK("https://zfin.org/ZDB-GENE-031113-9")</f>
        <v>https://zfin.org/ZDB-GENE-031113-9</v>
      </c>
      <c r="J42" t="s">
        <v>1417</v>
      </c>
    </row>
    <row r="43" spans="1:10" x14ac:dyDescent="0.2">
      <c r="A43">
        <v>3.1689813334528897E-14</v>
      </c>
      <c r="B43">
        <v>-0.46990078067716801</v>
      </c>
      <c r="C43">
        <v>1</v>
      </c>
      <c r="D43">
        <v>1</v>
      </c>
      <c r="E43">
        <v>4.9065337985851098E-10</v>
      </c>
      <c r="F43" t="s">
        <v>13</v>
      </c>
      <c r="G43" t="s">
        <v>14</v>
      </c>
      <c r="H43" t="s">
        <v>13</v>
      </c>
      <c r="I43" t="str">
        <f>HYPERLINK("https://zfin.org/ZDB-GENE-130603-61")</f>
        <v>https://zfin.org/ZDB-GENE-130603-61</v>
      </c>
      <c r="J43" t="s">
        <v>15</v>
      </c>
    </row>
    <row r="44" spans="1:10" x14ac:dyDescent="0.2">
      <c r="A44">
        <v>3.2971284796143101E-14</v>
      </c>
      <c r="B44">
        <v>-1.3382717726148401</v>
      </c>
      <c r="C44">
        <v>0.26400000000000001</v>
      </c>
      <c r="D44">
        <v>0.54100000000000004</v>
      </c>
      <c r="E44">
        <v>5.10494402498683E-10</v>
      </c>
      <c r="F44" t="s">
        <v>1415</v>
      </c>
      <c r="G44" t="s">
        <v>1416</v>
      </c>
      <c r="H44" t="s">
        <v>1415</v>
      </c>
      <c r="I44" t="str">
        <f>HYPERLINK("https://zfin.org/ZDB-GENE-030131-688")</f>
        <v>https://zfin.org/ZDB-GENE-030131-688</v>
      </c>
      <c r="J44" t="s">
        <v>1414</v>
      </c>
    </row>
    <row r="45" spans="1:10" x14ac:dyDescent="0.2">
      <c r="A45">
        <v>4.04020360979893E-14</v>
      </c>
      <c r="B45">
        <v>-0.64277868082717204</v>
      </c>
      <c r="C45">
        <v>5.5E-2</v>
      </c>
      <c r="D45">
        <v>0.34300000000000003</v>
      </c>
      <c r="E45">
        <v>6.2554472490516803E-10</v>
      </c>
      <c r="F45" t="s">
        <v>652</v>
      </c>
      <c r="G45" t="s">
        <v>653</v>
      </c>
      <c r="H45" t="s">
        <v>652</v>
      </c>
      <c r="I45" t="str">
        <f>HYPERLINK("https://zfin.org/ZDB-GENE-031118-20")</f>
        <v>https://zfin.org/ZDB-GENE-031118-20</v>
      </c>
      <c r="J45" t="s">
        <v>651</v>
      </c>
    </row>
    <row r="46" spans="1:10" x14ac:dyDescent="0.2">
      <c r="A46">
        <v>5.1737086694884098E-14</v>
      </c>
      <c r="B46">
        <v>-0.56011482468042695</v>
      </c>
      <c r="C46">
        <v>0.35199999999999998</v>
      </c>
      <c r="D46">
        <v>0.69399999999999995</v>
      </c>
      <c r="E46">
        <v>8.0104531329689101E-10</v>
      </c>
      <c r="F46" t="s">
        <v>165</v>
      </c>
      <c r="G46" t="s">
        <v>166</v>
      </c>
      <c r="H46" t="s">
        <v>165</v>
      </c>
      <c r="I46" t="str">
        <f>HYPERLINK("https://zfin.org/ZDB-GENE-030131-4678")</f>
        <v>https://zfin.org/ZDB-GENE-030131-4678</v>
      </c>
      <c r="J46" t="s">
        <v>167</v>
      </c>
    </row>
    <row r="47" spans="1:10" x14ac:dyDescent="0.2">
      <c r="A47">
        <v>8.3737808367255805E-14</v>
      </c>
      <c r="B47">
        <v>-0.74564609237253099</v>
      </c>
      <c r="C47">
        <v>0.28000000000000003</v>
      </c>
      <c r="D47">
        <v>0.57299999999999995</v>
      </c>
      <c r="E47">
        <v>1.2965124869502201E-9</v>
      </c>
      <c r="F47" t="s">
        <v>1412</v>
      </c>
      <c r="G47" t="s">
        <v>1413</v>
      </c>
      <c r="H47" t="s">
        <v>1412</v>
      </c>
      <c r="I47" t="str">
        <f>HYPERLINK("https://zfin.org/ZDB-GENE-030428-2")</f>
        <v>https://zfin.org/ZDB-GENE-030428-2</v>
      </c>
      <c r="J47" t="s">
        <v>1411</v>
      </c>
    </row>
    <row r="48" spans="1:10" x14ac:dyDescent="0.2">
      <c r="A48">
        <v>1.2145568722021101E-13</v>
      </c>
      <c r="B48">
        <v>-1.25443396229502</v>
      </c>
      <c r="C48">
        <v>7.6999999999999999E-2</v>
      </c>
      <c r="D48">
        <v>0.34799999999999998</v>
      </c>
      <c r="E48">
        <v>1.88049840523053E-9</v>
      </c>
      <c r="F48" t="s">
        <v>1409</v>
      </c>
      <c r="G48" t="s">
        <v>1410</v>
      </c>
      <c r="H48" t="s">
        <v>1409</v>
      </c>
      <c r="I48" t="str">
        <f>HYPERLINK("https://zfin.org/ZDB-GENE-040704-31")</f>
        <v>https://zfin.org/ZDB-GENE-040704-31</v>
      </c>
      <c r="J48" t="s">
        <v>1408</v>
      </c>
    </row>
    <row r="49" spans="1:10" x14ac:dyDescent="0.2">
      <c r="A49">
        <v>1.68391207612534E-13</v>
      </c>
      <c r="B49">
        <v>-0.50424197022898298</v>
      </c>
      <c r="C49">
        <v>0.65900000000000003</v>
      </c>
      <c r="D49">
        <v>0.85199999999999998</v>
      </c>
      <c r="E49">
        <v>2.60720106746486E-9</v>
      </c>
      <c r="F49" t="s">
        <v>1406</v>
      </c>
      <c r="G49" t="s">
        <v>1407</v>
      </c>
      <c r="H49" t="s">
        <v>1406</v>
      </c>
      <c r="I49" t="str">
        <f>HYPERLINK("https://zfin.org/ZDB-GENE-030131-7647")</f>
        <v>https://zfin.org/ZDB-GENE-030131-7647</v>
      </c>
      <c r="J49" t="s">
        <v>1405</v>
      </c>
    </row>
    <row r="50" spans="1:10" x14ac:dyDescent="0.2">
      <c r="A50">
        <v>1.9036915912894499E-13</v>
      </c>
      <c r="B50">
        <v>-0.45674467954932602</v>
      </c>
      <c r="C50">
        <v>0.747</v>
      </c>
      <c r="D50">
        <v>0.93</v>
      </c>
      <c r="E50">
        <v>2.9474856907934599E-9</v>
      </c>
      <c r="F50" t="s">
        <v>1403</v>
      </c>
      <c r="G50" t="s">
        <v>1404</v>
      </c>
      <c r="H50" t="s">
        <v>1403</v>
      </c>
      <c r="I50" t="str">
        <f>HYPERLINK("https://zfin.org/ZDB-GENE-000329-1")</f>
        <v>https://zfin.org/ZDB-GENE-000329-1</v>
      </c>
      <c r="J50" t="s">
        <v>1402</v>
      </c>
    </row>
    <row r="51" spans="1:10" x14ac:dyDescent="0.2">
      <c r="A51">
        <v>8.8246536842841398E-13</v>
      </c>
      <c r="B51">
        <v>-0.73677656311730999</v>
      </c>
      <c r="C51">
        <v>4.3999999999999997E-2</v>
      </c>
      <c r="D51">
        <v>0.30199999999999999</v>
      </c>
      <c r="E51">
        <v>1.3663211299377101E-8</v>
      </c>
      <c r="F51" t="s">
        <v>1400</v>
      </c>
      <c r="G51" t="s">
        <v>1401</v>
      </c>
      <c r="H51" t="s">
        <v>1400</v>
      </c>
      <c r="I51" t="str">
        <f>HYPERLINK("https://zfin.org/ZDB-GENE-030131-9149")</f>
        <v>https://zfin.org/ZDB-GENE-030131-9149</v>
      </c>
      <c r="J51" t="s">
        <v>1399</v>
      </c>
    </row>
    <row r="52" spans="1:10" x14ac:dyDescent="0.2">
      <c r="A52">
        <v>9.7277446214987304E-13</v>
      </c>
      <c r="B52">
        <v>-1.2652261579036601</v>
      </c>
      <c r="C52">
        <v>8.2000000000000003E-2</v>
      </c>
      <c r="D52">
        <v>0.33800000000000002</v>
      </c>
      <c r="E52">
        <v>1.50614669974665E-8</v>
      </c>
      <c r="F52" t="s">
        <v>1397</v>
      </c>
      <c r="G52" t="s">
        <v>1398</v>
      </c>
      <c r="H52" t="s">
        <v>1397</v>
      </c>
      <c r="I52" t="str">
        <f>HYPERLINK("https://zfin.org/ZDB-GENE-110411-258")</f>
        <v>https://zfin.org/ZDB-GENE-110411-258</v>
      </c>
      <c r="J52" t="s">
        <v>1396</v>
      </c>
    </row>
    <row r="53" spans="1:10" x14ac:dyDescent="0.2">
      <c r="A53">
        <v>9.9047850110690294E-13</v>
      </c>
      <c r="B53">
        <v>-0.596688026973345</v>
      </c>
      <c r="C53">
        <v>0.35199999999999998</v>
      </c>
      <c r="D53">
        <v>0.622</v>
      </c>
      <c r="E53">
        <v>1.5335578632638202E-8</v>
      </c>
      <c r="F53" t="s">
        <v>1394</v>
      </c>
      <c r="G53" t="s">
        <v>1395</v>
      </c>
      <c r="H53" t="s">
        <v>1394</v>
      </c>
      <c r="I53" t="str">
        <f>HYPERLINK("https://zfin.org/ZDB-GENE-031113-14")</f>
        <v>https://zfin.org/ZDB-GENE-031113-14</v>
      </c>
      <c r="J53" t="s">
        <v>1393</v>
      </c>
    </row>
    <row r="54" spans="1:10" x14ac:dyDescent="0.2">
      <c r="A54">
        <v>1.34552401756975E-12</v>
      </c>
      <c r="B54">
        <v>-0.28385645860113501</v>
      </c>
      <c r="C54">
        <v>0.95099999999999996</v>
      </c>
      <c r="D54">
        <v>0.98499999999999999</v>
      </c>
      <c r="E54">
        <v>2.0832748364032401E-8</v>
      </c>
      <c r="F54" t="s">
        <v>270</v>
      </c>
      <c r="G54" t="s">
        <v>271</v>
      </c>
      <c r="H54" t="s">
        <v>270</v>
      </c>
      <c r="I54" t="str">
        <f>HYPERLINK("https://zfin.org/ZDB-GENE-040426-2117")</f>
        <v>https://zfin.org/ZDB-GENE-040426-2117</v>
      </c>
      <c r="J54" t="s">
        <v>272</v>
      </c>
    </row>
    <row r="55" spans="1:10" x14ac:dyDescent="0.2">
      <c r="A55">
        <v>1.6775283077074901E-12</v>
      </c>
      <c r="B55">
        <v>-0.33933727599146002</v>
      </c>
      <c r="C55">
        <v>0.84599999999999997</v>
      </c>
      <c r="D55">
        <v>0.94299999999999995</v>
      </c>
      <c r="E55">
        <v>2.5973170788234999E-8</v>
      </c>
      <c r="F55" t="s">
        <v>1047</v>
      </c>
      <c r="G55" t="s">
        <v>1048</v>
      </c>
      <c r="H55" t="s">
        <v>1047</v>
      </c>
      <c r="I55" t="str">
        <f>HYPERLINK("https://zfin.org/ZDB-GENE-020423-1")</f>
        <v>https://zfin.org/ZDB-GENE-020423-1</v>
      </c>
      <c r="J55" t="s">
        <v>1046</v>
      </c>
    </row>
    <row r="56" spans="1:10" x14ac:dyDescent="0.2">
      <c r="A56">
        <v>1.7166017948976901E-12</v>
      </c>
      <c r="B56">
        <v>-1.3014833346436501</v>
      </c>
      <c r="C56">
        <v>4.9000000000000002E-2</v>
      </c>
      <c r="D56">
        <v>0.29399999999999998</v>
      </c>
      <c r="E56">
        <v>2.6578145590400901E-8</v>
      </c>
      <c r="F56" t="s">
        <v>1391</v>
      </c>
      <c r="G56" t="s">
        <v>1392</v>
      </c>
      <c r="H56" t="s">
        <v>1391</v>
      </c>
      <c r="I56" t="str">
        <f>HYPERLINK("https://zfin.org/ZDB-GENE-040426-1430")</f>
        <v>https://zfin.org/ZDB-GENE-040426-1430</v>
      </c>
      <c r="J56" t="s">
        <v>1390</v>
      </c>
    </row>
    <row r="57" spans="1:10" x14ac:dyDescent="0.2">
      <c r="A57">
        <v>3.44924373870576E-12</v>
      </c>
      <c r="B57">
        <v>-0.53542218830544597</v>
      </c>
      <c r="C57">
        <v>0.51600000000000001</v>
      </c>
      <c r="D57">
        <v>0.77700000000000002</v>
      </c>
      <c r="E57">
        <v>5.34046408063813E-8</v>
      </c>
      <c r="F57" t="s">
        <v>186</v>
      </c>
      <c r="G57" t="s">
        <v>187</v>
      </c>
      <c r="H57" t="s">
        <v>186</v>
      </c>
      <c r="I57" t="str">
        <f>HYPERLINK("https://zfin.org/ZDB-GENE-031002-1")</f>
        <v>https://zfin.org/ZDB-GENE-031002-1</v>
      </c>
      <c r="J57" t="s">
        <v>188</v>
      </c>
    </row>
    <row r="58" spans="1:10" x14ac:dyDescent="0.2">
      <c r="A58">
        <v>5.3696000118451699E-12</v>
      </c>
      <c r="B58">
        <v>-0.69425284859444103</v>
      </c>
      <c r="C58">
        <v>8.7999999999999995E-2</v>
      </c>
      <c r="D58">
        <v>0.35499999999999998</v>
      </c>
      <c r="E58">
        <v>8.3137516983398797E-8</v>
      </c>
      <c r="F58" t="s">
        <v>1388</v>
      </c>
      <c r="G58" t="s">
        <v>1389</v>
      </c>
      <c r="H58" t="s">
        <v>1388</v>
      </c>
      <c r="I58" t="str">
        <f>HYPERLINK("https://zfin.org/ZDB-GENE-041210-181")</f>
        <v>https://zfin.org/ZDB-GENE-041210-181</v>
      </c>
      <c r="J58" t="s">
        <v>1387</v>
      </c>
    </row>
    <row r="59" spans="1:10" x14ac:dyDescent="0.2">
      <c r="A59">
        <v>6.7230359055144303E-12</v>
      </c>
      <c r="B59">
        <v>-0.57108626871809798</v>
      </c>
      <c r="C59">
        <v>3.7999999999999999E-2</v>
      </c>
      <c r="D59">
        <v>0.28399999999999997</v>
      </c>
      <c r="E59">
        <v>1.0409276492508E-7</v>
      </c>
      <c r="F59" t="s">
        <v>1385</v>
      </c>
      <c r="G59" t="s">
        <v>1386</v>
      </c>
      <c r="H59" t="s">
        <v>1385</v>
      </c>
      <c r="I59" t="str">
        <f>HYPERLINK("https://zfin.org/ZDB-GENE-040426-1370")</f>
        <v>https://zfin.org/ZDB-GENE-040426-1370</v>
      </c>
      <c r="J59" t="s">
        <v>1384</v>
      </c>
    </row>
    <row r="60" spans="1:10" x14ac:dyDescent="0.2">
      <c r="A60">
        <v>9.1663721804135105E-12</v>
      </c>
      <c r="B60">
        <v>-0.67167606950571102</v>
      </c>
      <c r="C60">
        <v>0.20300000000000001</v>
      </c>
      <c r="D60">
        <v>0.48899999999999999</v>
      </c>
      <c r="E60">
        <v>1.41922940469342E-7</v>
      </c>
      <c r="F60" t="s">
        <v>1382</v>
      </c>
      <c r="G60" t="s">
        <v>1383</v>
      </c>
      <c r="H60" t="s">
        <v>1382</v>
      </c>
      <c r="I60" t="str">
        <f>HYPERLINK("https://zfin.org/ZDB-GENE-060929-568")</f>
        <v>https://zfin.org/ZDB-GENE-060929-568</v>
      </c>
      <c r="J60" t="s">
        <v>1381</v>
      </c>
    </row>
    <row r="61" spans="1:10" x14ac:dyDescent="0.2">
      <c r="A61">
        <v>9.3376108165990195E-12</v>
      </c>
      <c r="B61">
        <v>-0.54012518375677898</v>
      </c>
      <c r="C61">
        <v>0.72</v>
      </c>
      <c r="D61">
        <v>0.83899999999999997</v>
      </c>
      <c r="E61">
        <v>1.4457422827340301E-7</v>
      </c>
      <c r="F61" t="s">
        <v>1379</v>
      </c>
      <c r="G61" t="s">
        <v>1380</v>
      </c>
      <c r="H61" t="s">
        <v>1379</v>
      </c>
      <c r="I61" t="str">
        <f>HYPERLINK("https://zfin.org/ZDB-GENE-030131-8625")</f>
        <v>https://zfin.org/ZDB-GENE-030131-8625</v>
      </c>
      <c r="J61" t="s">
        <v>1378</v>
      </c>
    </row>
    <row r="62" spans="1:10" x14ac:dyDescent="0.2">
      <c r="A62">
        <v>1.1816602318561401E-11</v>
      </c>
      <c r="B62">
        <v>-0.73464383260997401</v>
      </c>
      <c r="C62">
        <v>9.2999999999999999E-2</v>
      </c>
      <c r="D62">
        <v>0.35199999999999998</v>
      </c>
      <c r="E62">
        <v>1.8295645369828601E-7</v>
      </c>
      <c r="F62" t="s">
        <v>1376</v>
      </c>
      <c r="G62" t="s">
        <v>1377</v>
      </c>
      <c r="H62" t="s">
        <v>1376</v>
      </c>
      <c r="I62" t="str">
        <f>HYPERLINK("https://zfin.org/ZDB-GENE-081105-74")</f>
        <v>https://zfin.org/ZDB-GENE-081105-74</v>
      </c>
      <c r="J62" t="s">
        <v>1375</v>
      </c>
    </row>
    <row r="63" spans="1:10" x14ac:dyDescent="0.2">
      <c r="A63">
        <v>1.2050227696645701E-11</v>
      </c>
      <c r="B63">
        <v>-0.380493005194673</v>
      </c>
      <c r="C63">
        <v>0.85199999999999998</v>
      </c>
      <c r="D63">
        <v>0.92700000000000005</v>
      </c>
      <c r="E63">
        <v>1.8657367542716499E-7</v>
      </c>
      <c r="F63" t="s">
        <v>872</v>
      </c>
      <c r="G63" t="s">
        <v>873</v>
      </c>
      <c r="H63" t="s">
        <v>872</v>
      </c>
      <c r="I63" t="str">
        <f>HYPERLINK("https://zfin.org/ZDB-GENE-000629-1")</f>
        <v>https://zfin.org/ZDB-GENE-000629-1</v>
      </c>
      <c r="J63" t="s">
        <v>871</v>
      </c>
    </row>
    <row r="64" spans="1:10" x14ac:dyDescent="0.2">
      <c r="A64">
        <v>1.5310126833870799E-11</v>
      </c>
      <c r="B64">
        <v>-0.77114549345757</v>
      </c>
      <c r="C64">
        <v>3.7999999999999999E-2</v>
      </c>
      <c r="D64">
        <v>0.27100000000000002</v>
      </c>
      <c r="E64">
        <v>2.3704669376882199E-7</v>
      </c>
      <c r="F64" t="s">
        <v>1373</v>
      </c>
      <c r="G64" t="s">
        <v>1374</v>
      </c>
      <c r="H64" t="s">
        <v>1373</v>
      </c>
      <c r="I64" t="str">
        <f>HYPERLINK("https://zfin.org/ZDB-GENE-040718-440")</f>
        <v>https://zfin.org/ZDB-GENE-040718-440</v>
      </c>
      <c r="J64" t="s">
        <v>1372</v>
      </c>
    </row>
    <row r="65" spans="1:10" x14ac:dyDescent="0.2">
      <c r="A65">
        <v>1.5884410972224601E-11</v>
      </c>
      <c r="B65">
        <v>-0.50233141897454503</v>
      </c>
      <c r="C65">
        <v>0.31900000000000001</v>
      </c>
      <c r="D65">
        <v>0.629</v>
      </c>
      <c r="E65">
        <v>2.4593833508295299E-7</v>
      </c>
      <c r="F65" t="s">
        <v>297</v>
      </c>
      <c r="G65" t="s">
        <v>298</v>
      </c>
      <c r="H65" t="s">
        <v>297</v>
      </c>
      <c r="I65" t="str">
        <f>HYPERLINK("https://zfin.org/ZDB-GENE-051023-8")</f>
        <v>https://zfin.org/ZDB-GENE-051023-8</v>
      </c>
      <c r="J65" t="s">
        <v>299</v>
      </c>
    </row>
    <row r="66" spans="1:10" x14ac:dyDescent="0.2">
      <c r="A66">
        <v>2.2453756479623699E-11</v>
      </c>
      <c r="B66">
        <v>-0.59914235015386197</v>
      </c>
      <c r="C66">
        <v>0.11</v>
      </c>
      <c r="D66">
        <v>0.375</v>
      </c>
      <c r="E66">
        <v>3.4765151157401299E-7</v>
      </c>
      <c r="F66" t="s">
        <v>1370</v>
      </c>
      <c r="G66" t="s">
        <v>1371</v>
      </c>
      <c r="H66" t="s">
        <v>1370</v>
      </c>
      <c r="I66" t="str">
        <f>HYPERLINK("https://zfin.org/ZDB-GENE-050320-111")</f>
        <v>https://zfin.org/ZDB-GENE-050320-111</v>
      </c>
      <c r="J66" t="s">
        <v>1369</v>
      </c>
    </row>
    <row r="67" spans="1:10" x14ac:dyDescent="0.2">
      <c r="A67">
        <v>2.55332747131841E-11</v>
      </c>
      <c r="B67">
        <v>-0.50306588465193602</v>
      </c>
      <c r="C67">
        <v>0.379</v>
      </c>
      <c r="D67">
        <v>0.66800000000000004</v>
      </c>
      <c r="E67">
        <v>3.9533169238423E-7</v>
      </c>
      <c r="F67" t="s">
        <v>1367</v>
      </c>
      <c r="G67" t="s">
        <v>1368</v>
      </c>
      <c r="H67" t="s">
        <v>1367</v>
      </c>
      <c r="I67" t="str">
        <f>HYPERLINK("https://zfin.org/ZDB-GENE-030131-8567")</f>
        <v>https://zfin.org/ZDB-GENE-030131-8567</v>
      </c>
      <c r="J67" t="s">
        <v>1366</v>
      </c>
    </row>
    <row r="68" spans="1:10" x14ac:dyDescent="0.2">
      <c r="A68">
        <v>3.2661352258322003E-11</v>
      </c>
      <c r="B68">
        <v>-0.30726081864239702</v>
      </c>
      <c r="C68">
        <v>0.91200000000000003</v>
      </c>
      <c r="D68">
        <v>0.96699999999999997</v>
      </c>
      <c r="E68">
        <v>5.0569571701559897E-7</v>
      </c>
      <c r="F68" t="s">
        <v>978</v>
      </c>
      <c r="G68" t="s">
        <v>979</v>
      </c>
      <c r="H68" t="s">
        <v>978</v>
      </c>
      <c r="I68" t="str">
        <f>HYPERLINK("https://zfin.org/ZDB-GENE-031001-9")</f>
        <v>https://zfin.org/ZDB-GENE-031001-9</v>
      </c>
      <c r="J68" t="s">
        <v>977</v>
      </c>
    </row>
    <row r="69" spans="1:10" x14ac:dyDescent="0.2">
      <c r="A69">
        <v>3.3893499201036098E-11</v>
      </c>
      <c r="B69">
        <v>-0.319324836962807</v>
      </c>
      <c r="C69">
        <v>0.94</v>
      </c>
      <c r="D69">
        <v>0.96499999999999997</v>
      </c>
      <c r="E69">
        <v>5.2477304812964199E-7</v>
      </c>
      <c r="F69" t="s">
        <v>939</v>
      </c>
      <c r="G69" t="s">
        <v>940</v>
      </c>
      <c r="H69" t="s">
        <v>939</v>
      </c>
      <c r="I69" t="str">
        <f>HYPERLINK("https://zfin.org/ZDB-GENE-040426-2454")</f>
        <v>https://zfin.org/ZDB-GENE-040426-2454</v>
      </c>
      <c r="J69" t="s">
        <v>938</v>
      </c>
    </row>
    <row r="70" spans="1:10" x14ac:dyDescent="0.2">
      <c r="A70">
        <v>4.1225177631521602E-11</v>
      </c>
      <c r="B70">
        <v>-0.46863063229712298</v>
      </c>
      <c r="C70">
        <v>0.35699999999999998</v>
      </c>
      <c r="D70">
        <v>0.65</v>
      </c>
      <c r="E70">
        <v>6.3828942526884896E-7</v>
      </c>
      <c r="F70" t="s">
        <v>1364</v>
      </c>
      <c r="G70" t="s">
        <v>1365</v>
      </c>
      <c r="H70" t="s">
        <v>1364</v>
      </c>
      <c r="I70" t="str">
        <f>HYPERLINK("https://zfin.org/ZDB-GENE-020913-1")</f>
        <v>https://zfin.org/ZDB-GENE-020913-1</v>
      </c>
      <c r="J70" t="s">
        <v>1363</v>
      </c>
    </row>
    <row r="71" spans="1:10" x14ac:dyDescent="0.2">
      <c r="A71">
        <v>5.37121870737955E-11</v>
      </c>
      <c r="B71">
        <v>-0.52591821039708597</v>
      </c>
      <c r="C71">
        <v>0.40699999999999997</v>
      </c>
      <c r="D71">
        <v>0.71199999999999997</v>
      </c>
      <c r="E71">
        <v>8.3162579246357496E-7</v>
      </c>
      <c r="F71" t="s">
        <v>195</v>
      </c>
      <c r="G71" t="s">
        <v>196</v>
      </c>
      <c r="H71" t="s">
        <v>195</v>
      </c>
      <c r="I71" t="str">
        <f>HYPERLINK("https://zfin.org/ZDB-GENE-030131-5493")</f>
        <v>https://zfin.org/ZDB-GENE-030131-5493</v>
      </c>
      <c r="J71" t="s">
        <v>197</v>
      </c>
    </row>
    <row r="72" spans="1:10" x14ac:dyDescent="0.2">
      <c r="A72">
        <v>6.0346321428584202E-11</v>
      </c>
      <c r="B72">
        <v>-0.53481667449264203</v>
      </c>
      <c r="C72">
        <v>0.126</v>
      </c>
      <c r="D72">
        <v>0.39300000000000002</v>
      </c>
      <c r="E72">
        <v>9.3434209467876902E-7</v>
      </c>
      <c r="F72" t="s">
        <v>1361</v>
      </c>
      <c r="G72" t="s">
        <v>1362</v>
      </c>
      <c r="H72" t="s">
        <v>1361</v>
      </c>
      <c r="I72" t="str">
        <f>HYPERLINK("https://zfin.org/ZDB-GENE-990415-264")</f>
        <v>https://zfin.org/ZDB-GENE-990415-264</v>
      </c>
      <c r="J72" t="s">
        <v>1360</v>
      </c>
    </row>
    <row r="73" spans="1:10" x14ac:dyDescent="0.2">
      <c r="A73">
        <v>6.0625163429096499E-11</v>
      </c>
      <c r="B73">
        <v>-0.48074926380314098</v>
      </c>
      <c r="C73">
        <v>0.14799999999999999</v>
      </c>
      <c r="D73">
        <v>0.42499999999999999</v>
      </c>
      <c r="E73">
        <v>9.3865940537270098E-7</v>
      </c>
      <c r="F73" t="s">
        <v>1358</v>
      </c>
      <c r="G73" t="s">
        <v>1359</v>
      </c>
      <c r="H73" t="s">
        <v>1358</v>
      </c>
      <c r="I73" t="str">
        <f>HYPERLINK("https://zfin.org/ZDB-GENE-050417-174")</f>
        <v>https://zfin.org/ZDB-GENE-050417-174</v>
      </c>
      <c r="J73" t="s">
        <v>1357</v>
      </c>
    </row>
    <row r="74" spans="1:10" x14ac:dyDescent="0.2">
      <c r="A74">
        <v>7.2643152700635296E-11</v>
      </c>
      <c r="B74">
        <v>-0.36376623313662898</v>
      </c>
      <c r="C74">
        <v>0.51600000000000001</v>
      </c>
      <c r="D74">
        <v>0.77900000000000003</v>
      </c>
      <c r="E74">
        <v>1.1247339332639401E-6</v>
      </c>
      <c r="F74" t="s">
        <v>1355</v>
      </c>
      <c r="G74" t="s">
        <v>1356</v>
      </c>
      <c r="H74" t="s">
        <v>1355</v>
      </c>
      <c r="I74" t="str">
        <f>HYPERLINK("https://zfin.org/ZDB-GENE-030131-5128")</f>
        <v>https://zfin.org/ZDB-GENE-030131-5128</v>
      </c>
      <c r="J74" t="s">
        <v>1354</v>
      </c>
    </row>
    <row r="75" spans="1:10" x14ac:dyDescent="0.2">
      <c r="A75">
        <v>8.0333785986466895E-11</v>
      </c>
      <c r="B75">
        <v>-0.69071957108736703</v>
      </c>
      <c r="C75">
        <v>0.14299999999999999</v>
      </c>
      <c r="D75">
        <v>0.39900000000000002</v>
      </c>
      <c r="E75">
        <v>1.24380800842847E-6</v>
      </c>
      <c r="F75" t="s">
        <v>1352</v>
      </c>
      <c r="G75" t="s">
        <v>1353</v>
      </c>
      <c r="H75" t="s">
        <v>1352</v>
      </c>
      <c r="I75" t="str">
        <f>HYPERLINK("https://zfin.org/ZDB-GENE-091204-19")</f>
        <v>https://zfin.org/ZDB-GENE-091204-19</v>
      </c>
      <c r="J75" t="s">
        <v>1351</v>
      </c>
    </row>
    <row r="76" spans="1:10" x14ac:dyDescent="0.2">
      <c r="A76">
        <v>9.8884312809416398E-11</v>
      </c>
      <c r="B76">
        <v>-0.52889764967081399</v>
      </c>
      <c r="C76">
        <v>0.38500000000000001</v>
      </c>
      <c r="D76">
        <v>0.64800000000000002</v>
      </c>
      <c r="E76">
        <v>1.53102581522819E-6</v>
      </c>
      <c r="F76" t="s">
        <v>1349</v>
      </c>
      <c r="G76" t="s">
        <v>1350</v>
      </c>
      <c r="H76" t="s">
        <v>1349</v>
      </c>
      <c r="I76" t="str">
        <f>HYPERLINK("https://zfin.org/ZDB-GENE-030131-4042")</f>
        <v>https://zfin.org/ZDB-GENE-030131-4042</v>
      </c>
      <c r="J76" t="s">
        <v>1348</v>
      </c>
    </row>
    <row r="77" spans="1:10" x14ac:dyDescent="0.2">
      <c r="A77">
        <v>1.05250143243281E-10</v>
      </c>
      <c r="B77">
        <v>-0.33268228567777097</v>
      </c>
      <c r="C77">
        <v>0.92900000000000005</v>
      </c>
      <c r="D77">
        <v>0.96699999999999997</v>
      </c>
      <c r="E77">
        <v>1.6295879678357201E-6</v>
      </c>
      <c r="F77" t="s">
        <v>1032</v>
      </c>
      <c r="G77" t="s">
        <v>1033</v>
      </c>
      <c r="H77" t="s">
        <v>1032</v>
      </c>
      <c r="I77" t="str">
        <f>HYPERLINK("https://zfin.org/ZDB-GENE-030131-8951")</f>
        <v>https://zfin.org/ZDB-GENE-030131-8951</v>
      </c>
      <c r="J77" t="s">
        <v>1031</v>
      </c>
    </row>
    <row r="78" spans="1:10" x14ac:dyDescent="0.2">
      <c r="A78">
        <v>1.10868473001296E-10</v>
      </c>
      <c r="B78">
        <v>-0.80419222802707702</v>
      </c>
      <c r="C78">
        <v>2.7E-2</v>
      </c>
      <c r="D78">
        <v>0.23699999999999999</v>
      </c>
      <c r="E78">
        <v>1.71657656747907E-6</v>
      </c>
      <c r="F78" t="s">
        <v>1346</v>
      </c>
      <c r="G78" t="s">
        <v>1347</v>
      </c>
      <c r="H78" t="s">
        <v>1346</v>
      </c>
      <c r="I78" t="str">
        <f>HYPERLINK("https://zfin.org/ZDB-GENE-980526-29")</f>
        <v>https://zfin.org/ZDB-GENE-980526-29</v>
      </c>
      <c r="J78" t="s">
        <v>1345</v>
      </c>
    </row>
    <row r="79" spans="1:10" x14ac:dyDescent="0.2">
      <c r="A79">
        <v>1.1278146080463201E-10</v>
      </c>
      <c r="B79">
        <v>-0.29324261109798</v>
      </c>
      <c r="C79">
        <v>0.89600000000000002</v>
      </c>
      <c r="D79">
        <v>0.96099999999999997</v>
      </c>
      <c r="E79">
        <v>1.74619535763811E-6</v>
      </c>
      <c r="F79" t="s">
        <v>993</v>
      </c>
      <c r="G79" t="s">
        <v>994</v>
      </c>
      <c r="H79" t="s">
        <v>993</v>
      </c>
      <c r="I79" t="str">
        <f>HYPERLINK("https://zfin.org/ZDB-GENE-040625-51")</f>
        <v>https://zfin.org/ZDB-GENE-040625-51</v>
      </c>
      <c r="J79" t="s">
        <v>992</v>
      </c>
    </row>
    <row r="80" spans="1:10" x14ac:dyDescent="0.2">
      <c r="A80">
        <v>1.3503826580190601E-10</v>
      </c>
      <c r="B80">
        <v>-0.56089349242239295</v>
      </c>
      <c r="C80">
        <v>0.11</v>
      </c>
      <c r="D80">
        <v>0.36099999999999999</v>
      </c>
      <c r="E80">
        <v>2.0907974694108999E-6</v>
      </c>
      <c r="F80" t="s">
        <v>1343</v>
      </c>
      <c r="G80" t="s">
        <v>1344</v>
      </c>
      <c r="H80" t="s">
        <v>1343</v>
      </c>
      <c r="I80" t="str">
        <f>HYPERLINK("https://zfin.org/ZDB-GENE-010202-3")</f>
        <v>https://zfin.org/ZDB-GENE-010202-3</v>
      </c>
      <c r="J80" t="s">
        <v>1342</v>
      </c>
    </row>
    <row r="81" spans="1:10" x14ac:dyDescent="0.2">
      <c r="A81">
        <v>1.5636620127697101E-10</v>
      </c>
      <c r="B81">
        <v>-0.30998230385193998</v>
      </c>
      <c r="C81">
        <v>0.874</v>
      </c>
      <c r="D81">
        <v>0.94799999999999995</v>
      </c>
      <c r="E81">
        <v>2.4210178943713402E-6</v>
      </c>
      <c r="F81" t="s">
        <v>924</v>
      </c>
      <c r="G81" t="s">
        <v>925</v>
      </c>
      <c r="H81" t="s">
        <v>924</v>
      </c>
      <c r="I81" t="str">
        <f>HYPERLINK("https://zfin.org/ZDB-GENE-040801-183")</f>
        <v>https://zfin.org/ZDB-GENE-040801-183</v>
      </c>
      <c r="J81" t="s">
        <v>923</v>
      </c>
    </row>
    <row r="82" spans="1:10" x14ac:dyDescent="0.2">
      <c r="A82">
        <v>1.8195357830211101E-10</v>
      </c>
      <c r="B82">
        <v>-0.332982062446394</v>
      </c>
      <c r="C82">
        <v>0.90100000000000002</v>
      </c>
      <c r="D82">
        <v>0.94499999999999995</v>
      </c>
      <c r="E82">
        <v>2.8171872528515801E-6</v>
      </c>
      <c r="F82" t="s">
        <v>1038</v>
      </c>
      <c r="G82" t="s">
        <v>1039</v>
      </c>
      <c r="H82" t="s">
        <v>1038</v>
      </c>
      <c r="I82" t="str">
        <f>HYPERLINK("https://zfin.org/ZDB-GENE-010724-15")</f>
        <v>https://zfin.org/ZDB-GENE-010724-15</v>
      </c>
      <c r="J82" t="s">
        <v>1037</v>
      </c>
    </row>
    <row r="83" spans="1:10" x14ac:dyDescent="0.2">
      <c r="A83">
        <v>1.9910314087954E-10</v>
      </c>
      <c r="B83">
        <v>-0.38903196878648799</v>
      </c>
      <c r="C83">
        <v>0.747</v>
      </c>
      <c r="D83">
        <v>0.91700000000000004</v>
      </c>
      <c r="E83">
        <v>3.0827139302379202E-6</v>
      </c>
      <c r="F83" t="s">
        <v>61</v>
      </c>
      <c r="G83" t="s">
        <v>62</v>
      </c>
      <c r="H83" t="s">
        <v>61</v>
      </c>
      <c r="I83" t="str">
        <f>HYPERLINK("https://zfin.org/ZDB-GENE-010726-1")</f>
        <v>https://zfin.org/ZDB-GENE-010726-1</v>
      </c>
      <c r="J83" t="s">
        <v>63</v>
      </c>
    </row>
    <row r="84" spans="1:10" x14ac:dyDescent="0.2">
      <c r="A84">
        <v>2.7283094114881302E-10</v>
      </c>
      <c r="B84">
        <v>-0.75610532300757605</v>
      </c>
      <c r="C84">
        <v>4.3999999999999997E-2</v>
      </c>
      <c r="D84">
        <v>0.25600000000000001</v>
      </c>
      <c r="E84">
        <v>4.2242414618070798E-6</v>
      </c>
      <c r="F84" t="s">
        <v>1340</v>
      </c>
      <c r="G84" t="s">
        <v>1341</v>
      </c>
      <c r="H84" t="s">
        <v>1340</v>
      </c>
      <c r="I84" t="str">
        <f>HYPERLINK("https://zfin.org/ZDB-GENE-131121-141")</f>
        <v>https://zfin.org/ZDB-GENE-131121-141</v>
      </c>
      <c r="J84" t="s">
        <v>1339</v>
      </c>
    </row>
    <row r="85" spans="1:10" x14ac:dyDescent="0.2">
      <c r="A85">
        <v>2.7546885270966101E-10</v>
      </c>
      <c r="B85">
        <v>-0.89138151194096604</v>
      </c>
      <c r="C85">
        <v>0.121</v>
      </c>
      <c r="D85">
        <v>0.35199999999999998</v>
      </c>
      <c r="E85">
        <v>4.2650842465036804E-6</v>
      </c>
      <c r="F85" t="s">
        <v>1337</v>
      </c>
      <c r="G85" t="s">
        <v>1338</v>
      </c>
      <c r="H85" t="s">
        <v>1337</v>
      </c>
      <c r="I85" t="str">
        <f>HYPERLINK("https://zfin.org/ZDB-GENE-110411-139")</f>
        <v>https://zfin.org/ZDB-GENE-110411-139</v>
      </c>
      <c r="J85" t="s">
        <v>1336</v>
      </c>
    </row>
    <row r="86" spans="1:10" x14ac:dyDescent="0.2">
      <c r="A86">
        <v>3.3927395526868201E-10</v>
      </c>
      <c r="B86">
        <v>-0.55289223137043597</v>
      </c>
      <c r="C86">
        <v>3.3000000000000002E-2</v>
      </c>
      <c r="D86">
        <v>0.24399999999999999</v>
      </c>
      <c r="E86">
        <v>5.2529786494249999E-6</v>
      </c>
      <c r="F86" t="s">
        <v>1334</v>
      </c>
      <c r="G86" t="s">
        <v>1335</v>
      </c>
      <c r="H86" t="s">
        <v>1334</v>
      </c>
      <c r="I86" t="str">
        <f>HYPERLINK("https://zfin.org/ZDB-GENE-061103-589")</f>
        <v>https://zfin.org/ZDB-GENE-061103-589</v>
      </c>
      <c r="J86" t="s">
        <v>1333</v>
      </c>
    </row>
    <row r="87" spans="1:10" x14ac:dyDescent="0.2">
      <c r="A87">
        <v>3.5892984412320897E-10</v>
      </c>
      <c r="B87">
        <v>-0.72973868026061195</v>
      </c>
      <c r="C87">
        <v>8.7999999999999995E-2</v>
      </c>
      <c r="D87">
        <v>0.315</v>
      </c>
      <c r="E87">
        <v>5.55731077655964E-6</v>
      </c>
      <c r="F87" t="s">
        <v>1331</v>
      </c>
      <c r="G87" t="s">
        <v>1332</v>
      </c>
      <c r="H87" t="s">
        <v>1331</v>
      </c>
      <c r="I87" t="str">
        <f>HYPERLINK("https://zfin.org/ZDB-GENE-991111-3")</f>
        <v>https://zfin.org/ZDB-GENE-991111-3</v>
      </c>
      <c r="J87" t="s">
        <v>1330</v>
      </c>
    </row>
    <row r="88" spans="1:10" x14ac:dyDescent="0.2">
      <c r="A88">
        <v>4.0569961334539098E-10</v>
      </c>
      <c r="B88">
        <v>-0.31540833803826201</v>
      </c>
      <c r="C88">
        <v>0.874</v>
      </c>
      <c r="D88">
        <v>0.94199999999999995</v>
      </c>
      <c r="E88">
        <v>6.2814471134266901E-6</v>
      </c>
      <c r="F88" t="s">
        <v>996</v>
      </c>
      <c r="G88" t="s">
        <v>997</v>
      </c>
      <c r="H88" t="s">
        <v>996</v>
      </c>
      <c r="I88" t="str">
        <f>HYPERLINK("https://zfin.org/ZDB-GENE-040426-1670")</f>
        <v>https://zfin.org/ZDB-GENE-040426-1670</v>
      </c>
      <c r="J88" t="s">
        <v>995</v>
      </c>
    </row>
    <row r="89" spans="1:10" x14ac:dyDescent="0.2">
      <c r="A89">
        <v>4.2242722429431103E-10</v>
      </c>
      <c r="B89">
        <v>-0.29161429344221701</v>
      </c>
      <c r="C89">
        <v>0.93400000000000005</v>
      </c>
      <c r="D89">
        <v>0.97599999999999998</v>
      </c>
      <c r="E89">
        <v>6.54044071374881E-6</v>
      </c>
      <c r="F89" t="s">
        <v>1044</v>
      </c>
      <c r="G89" t="s">
        <v>1045</v>
      </c>
      <c r="H89" t="s">
        <v>1044</v>
      </c>
      <c r="I89" t="str">
        <f>HYPERLINK("https://zfin.org/ZDB-GENE-040426-811")</f>
        <v>https://zfin.org/ZDB-GENE-040426-811</v>
      </c>
      <c r="J89" t="s">
        <v>1043</v>
      </c>
    </row>
    <row r="90" spans="1:10" x14ac:dyDescent="0.2">
      <c r="A90">
        <v>5.2411419501763698E-10</v>
      </c>
      <c r="B90">
        <v>-0.65570936748890196</v>
      </c>
      <c r="C90">
        <v>0.14299999999999999</v>
      </c>
      <c r="D90">
        <v>0.38500000000000001</v>
      </c>
      <c r="E90">
        <v>8.1148600814580707E-6</v>
      </c>
      <c r="F90" t="s">
        <v>1328</v>
      </c>
      <c r="G90" t="s">
        <v>1329</v>
      </c>
      <c r="H90" t="s">
        <v>1328</v>
      </c>
      <c r="I90" t="str">
        <f>HYPERLINK("https://zfin.org/ZDB-GENE-070424-30")</f>
        <v>https://zfin.org/ZDB-GENE-070424-30</v>
      </c>
      <c r="J90" t="s">
        <v>1327</v>
      </c>
    </row>
    <row r="91" spans="1:10" x14ac:dyDescent="0.2">
      <c r="A91">
        <v>5.6654845862637895E-10</v>
      </c>
      <c r="B91">
        <v>-0.52900721569616105</v>
      </c>
      <c r="C91">
        <v>0.14299999999999999</v>
      </c>
      <c r="D91">
        <v>0.39400000000000002</v>
      </c>
      <c r="E91">
        <v>8.7718697849122201E-6</v>
      </c>
      <c r="F91" t="s">
        <v>1325</v>
      </c>
      <c r="G91" t="s">
        <v>1326</v>
      </c>
      <c r="H91" t="s">
        <v>1325</v>
      </c>
      <c r="I91" t="str">
        <f>HYPERLINK("https://zfin.org/ZDB-GENE-050809-115")</f>
        <v>https://zfin.org/ZDB-GENE-050809-115</v>
      </c>
      <c r="J91" t="s">
        <v>1324</v>
      </c>
    </row>
    <row r="92" spans="1:10" x14ac:dyDescent="0.2">
      <c r="A92">
        <v>7.04852426542464E-10</v>
      </c>
      <c r="B92">
        <v>-0.48562066637711399</v>
      </c>
      <c r="C92">
        <v>0.39600000000000002</v>
      </c>
      <c r="D92">
        <v>0.65800000000000003</v>
      </c>
      <c r="E92">
        <v>1.0913230120157E-5</v>
      </c>
      <c r="F92" t="s">
        <v>1322</v>
      </c>
      <c r="G92" t="s">
        <v>1323</v>
      </c>
      <c r="H92" t="s">
        <v>1322</v>
      </c>
      <c r="I92" t="str">
        <f>HYPERLINK("https://zfin.org/ZDB-GENE-030131-527")</f>
        <v>https://zfin.org/ZDB-GENE-030131-527</v>
      </c>
      <c r="J92" t="s">
        <v>1321</v>
      </c>
    </row>
    <row r="93" spans="1:10" x14ac:dyDescent="0.2">
      <c r="A93">
        <v>7.2148238002611195E-10</v>
      </c>
      <c r="B93">
        <v>-0.47879578295295699</v>
      </c>
      <c r="C93">
        <v>0.115</v>
      </c>
      <c r="D93">
        <v>0.36199999999999999</v>
      </c>
      <c r="E93">
        <v>1.11707116899443E-5</v>
      </c>
      <c r="F93" t="s">
        <v>1319</v>
      </c>
      <c r="G93" t="s">
        <v>1320</v>
      </c>
      <c r="H93" t="s">
        <v>1319</v>
      </c>
      <c r="I93" t="str">
        <f>HYPERLINK("https://zfin.org/ZDB-GENE-051120-147")</f>
        <v>https://zfin.org/ZDB-GENE-051120-147</v>
      </c>
      <c r="J93" t="s">
        <v>1318</v>
      </c>
    </row>
    <row r="94" spans="1:10" x14ac:dyDescent="0.2">
      <c r="A94">
        <v>7.3130001998267401E-10</v>
      </c>
      <c r="B94">
        <v>-0.50935534302242802</v>
      </c>
      <c r="C94">
        <v>0.192</v>
      </c>
      <c r="D94">
        <v>0.46300000000000002</v>
      </c>
      <c r="E94">
        <v>1.13227182093917E-5</v>
      </c>
      <c r="F94" t="s">
        <v>1316</v>
      </c>
      <c r="G94" t="s">
        <v>1317</v>
      </c>
      <c r="H94" t="s">
        <v>1316</v>
      </c>
      <c r="I94" t="str">
        <f>HYPERLINK("https://zfin.org/ZDB-GENE-090915-6")</f>
        <v>https://zfin.org/ZDB-GENE-090915-6</v>
      </c>
      <c r="J94" t="s">
        <v>1315</v>
      </c>
    </row>
    <row r="95" spans="1:10" x14ac:dyDescent="0.2">
      <c r="A95">
        <v>1.06156429798146E-9</v>
      </c>
      <c r="B95">
        <v>-0.46051375142468898</v>
      </c>
      <c r="C95">
        <v>5.0000000000000001E-3</v>
      </c>
      <c r="D95">
        <v>0.185</v>
      </c>
      <c r="E95">
        <v>1.6436200025646999E-5</v>
      </c>
      <c r="F95" t="s">
        <v>1313</v>
      </c>
      <c r="G95" t="s">
        <v>1314</v>
      </c>
      <c r="H95" t="s">
        <v>1313</v>
      </c>
      <c r="I95" t="str">
        <f>HYPERLINK("https://zfin.org/ZDB-GENE-060222-1")</f>
        <v>https://zfin.org/ZDB-GENE-060222-1</v>
      </c>
      <c r="J95" t="s">
        <v>1312</v>
      </c>
    </row>
    <row r="96" spans="1:10" x14ac:dyDescent="0.2">
      <c r="A96">
        <v>1.4380915247960601E-9</v>
      </c>
      <c r="B96">
        <v>-0.48187093086471999</v>
      </c>
      <c r="C96">
        <v>6.6000000000000003E-2</v>
      </c>
      <c r="D96">
        <v>0.28799999999999998</v>
      </c>
      <c r="E96">
        <v>2.2265971078417399E-5</v>
      </c>
      <c r="F96" t="s">
        <v>1310</v>
      </c>
      <c r="G96" t="s">
        <v>1311</v>
      </c>
      <c r="H96" t="s">
        <v>1310</v>
      </c>
      <c r="I96" t="str">
        <f>HYPERLINK("https://zfin.org/ZDB-GENE-000328-3")</f>
        <v>https://zfin.org/ZDB-GENE-000328-3</v>
      </c>
      <c r="J96" t="s">
        <v>1309</v>
      </c>
    </row>
    <row r="97" spans="1:10" x14ac:dyDescent="0.2">
      <c r="A97">
        <v>1.4757993143425599E-9</v>
      </c>
      <c r="B97">
        <v>-0.77605496996716705</v>
      </c>
      <c r="C97">
        <v>5.5E-2</v>
      </c>
      <c r="D97">
        <v>0.25800000000000001</v>
      </c>
      <c r="E97">
        <v>2.2849800783965899E-5</v>
      </c>
      <c r="F97" t="s">
        <v>1307</v>
      </c>
      <c r="G97" t="s">
        <v>1308</v>
      </c>
      <c r="H97" t="s">
        <v>1307</v>
      </c>
      <c r="I97" t="str">
        <f>HYPERLINK("https://zfin.org/ZDB-GENE-040801-218")</f>
        <v>https://zfin.org/ZDB-GENE-040801-218</v>
      </c>
      <c r="J97" t="s">
        <v>1306</v>
      </c>
    </row>
    <row r="98" spans="1:10" x14ac:dyDescent="0.2">
      <c r="A98">
        <v>1.5013354917456299E-9</v>
      </c>
      <c r="B98">
        <v>-0.33127859710043001</v>
      </c>
      <c r="C98">
        <v>0.79700000000000004</v>
      </c>
      <c r="D98">
        <v>0.9</v>
      </c>
      <c r="E98">
        <v>2.3245177418697601E-5</v>
      </c>
      <c r="F98" t="s">
        <v>1008</v>
      </c>
      <c r="G98" t="s">
        <v>1009</v>
      </c>
      <c r="H98" t="s">
        <v>1008</v>
      </c>
      <c r="I98" t="str">
        <f>HYPERLINK("https://zfin.org/ZDB-GENE-020419-12")</f>
        <v>https://zfin.org/ZDB-GENE-020419-12</v>
      </c>
      <c r="J98" t="s">
        <v>1007</v>
      </c>
    </row>
    <row r="99" spans="1:10" x14ac:dyDescent="0.2">
      <c r="A99">
        <v>2.02897137687091E-9</v>
      </c>
      <c r="B99">
        <v>-0.47161729959995902</v>
      </c>
      <c r="C99">
        <v>0.13700000000000001</v>
      </c>
      <c r="D99">
        <v>0.38</v>
      </c>
      <c r="E99">
        <v>3.1414563828092302E-5</v>
      </c>
      <c r="F99" t="s">
        <v>1304</v>
      </c>
      <c r="G99" t="s">
        <v>1305</v>
      </c>
      <c r="H99" t="s">
        <v>1304</v>
      </c>
      <c r="I99" t="str">
        <f>HYPERLINK("https://zfin.org/ZDB-GENE-040724-125")</f>
        <v>https://zfin.org/ZDB-GENE-040724-125</v>
      </c>
      <c r="J99" t="s">
        <v>1303</v>
      </c>
    </row>
    <row r="100" spans="1:10" x14ac:dyDescent="0.2">
      <c r="A100">
        <v>2.04213482136332E-9</v>
      </c>
      <c r="B100">
        <v>-0.53490402378876301</v>
      </c>
      <c r="C100">
        <v>7.6999999999999999E-2</v>
      </c>
      <c r="D100">
        <v>0.29099999999999998</v>
      </c>
      <c r="E100">
        <v>3.1618373439168201E-5</v>
      </c>
      <c r="F100" t="s">
        <v>1301</v>
      </c>
      <c r="G100" t="s">
        <v>1302</v>
      </c>
      <c r="H100" t="s">
        <v>1301</v>
      </c>
      <c r="I100" t="str">
        <f>HYPERLINK("https://zfin.org/ZDB-GENE-030925-2")</f>
        <v>https://zfin.org/ZDB-GENE-030925-2</v>
      </c>
      <c r="J100" t="s">
        <v>1300</v>
      </c>
    </row>
    <row r="101" spans="1:10" x14ac:dyDescent="0.2">
      <c r="A101">
        <v>2.1562685293364799E-9</v>
      </c>
      <c r="B101">
        <v>-0.38471952360498202</v>
      </c>
      <c r="C101">
        <v>0.747</v>
      </c>
      <c r="D101">
        <v>0.90700000000000003</v>
      </c>
      <c r="E101">
        <v>3.3385505639716803E-5</v>
      </c>
      <c r="F101" t="s">
        <v>64</v>
      </c>
      <c r="G101" t="s">
        <v>65</v>
      </c>
      <c r="H101" t="s">
        <v>64</v>
      </c>
      <c r="I101" t="str">
        <f>HYPERLINK("https://zfin.org/ZDB-GENE-030131-8304")</f>
        <v>https://zfin.org/ZDB-GENE-030131-8304</v>
      </c>
      <c r="J101" t="s">
        <v>66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F0078-4530-3843-876A-DB80780782BF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6" width="19.5" customWidth="1"/>
    <col min="7" max="7" width="20.5" customWidth="1"/>
    <col min="8" max="8" width="22.6640625" customWidth="1"/>
    <col min="9" max="9" width="8.5" customWidth="1"/>
    <col min="10" max="10" width="122.83203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1.42907331044556E-10</v>
      </c>
      <c r="B2">
        <v>0.85056423646748303</v>
      </c>
      <c r="C2">
        <v>0.92700000000000005</v>
      </c>
      <c r="D2">
        <v>0.54700000000000004</v>
      </c>
      <c r="E2">
        <v>2.2126342065628602E-6</v>
      </c>
      <c r="F2" t="s">
        <v>1298</v>
      </c>
      <c r="G2" t="s">
        <v>1299</v>
      </c>
      <c r="H2" t="s">
        <v>1298</v>
      </c>
      <c r="I2" t="str">
        <f>HYPERLINK("https://zfin.org/ZDB-GENE-070502-5")</f>
        <v>https://zfin.org/ZDB-GENE-070502-5</v>
      </c>
      <c r="J2" t="s">
        <v>1297</v>
      </c>
    </row>
    <row r="3" spans="1:10" x14ac:dyDescent="0.2">
      <c r="A3">
        <v>1.7300036763733E-10</v>
      </c>
      <c r="B3">
        <v>0.78036051586743205</v>
      </c>
      <c r="C3">
        <v>0.91700000000000004</v>
      </c>
      <c r="D3">
        <v>0.75600000000000001</v>
      </c>
      <c r="E3">
        <v>2.6785646921287798E-6</v>
      </c>
      <c r="F3" t="s">
        <v>1274</v>
      </c>
      <c r="G3" t="s">
        <v>1275</v>
      </c>
      <c r="H3" t="s">
        <v>1274</v>
      </c>
      <c r="I3" t="str">
        <f>HYPERLINK("https://zfin.org/ZDB-GENE-031016-2")</f>
        <v>https://zfin.org/ZDB-GENE-031016-2</v>
      </c>
      <c r="J3" t="s">
        <v>1273</v>
      </c>
    </row>
    <row r="4" spans="1:10" x14ac:dyDescent="0.2">
      <c r="A4">
        <v>1.9363144157122398E-6</v>
      </c>
      <c r="B4">
        <v>0.84988014468931306</v>
      </c>
      <c r="C4">
        <v>0.38500000000000001</v>
      </c>
      <c r="D4">
        <v>8.1000000000000003E-2</v>
      </c>
      <c r="E4">
        <v>2.99799560984725E-2</v>
      </c>
      <c r="F4" t="s">
        <v>649</v>
      </c>
      <c r="G4" t="s">
        <v>650</v>
      </c>
      <c r="H4" t="s">
        <v>649</v>
      </c>
      <c r="I4" t="str">
        <f>HYPERLINK("https://zfin.org/ZDB-GENE-040426-2152")</f>
        <v>https://zfin.org/ZDB-GENE-040426-2152</v>
      </c>
      <c r="J4" t="s">
        <v>648</v>
      </c>
    </row>
    <row r="5" spans="1:10" x14ac:dyDescent="0.2">
      <c r="A5">
        <v>3.7538244811728698E-6</v>
      </c>
      <c r="B5">
        <v>0.47246978682774499</v>
      </c>
      <c r="C5">
        <v>0.99</v>
      </c>
      <c r="D5">
        <v>0.79100000000000004</v>
      </c>
      <c r="E5">
        <v>5.81204644419996E-2</v>
      </c>
      <c r="F5" t="s">
        <v>103</v>
      </c>
      <c r="G5" t="s">
        <v>104</v>
      </c>
      <c r="H5" t="s">
        <v>103</v>
      </c>
      <c r="I5" t="str">
        <f>HYPERLINK("https://zfin.org/ZDB-GENE-041121-18")</f>
        <v>https://zfin.org/ZDB-GENE-041121-18</v>
      </c>
      <c r="J5" t="s">
        <v>105</v>
      </c>
    </row>
    <row r="6" spans="1:10" x14ac:dyDescent="0.2">
      <c r="A6">
        <v>8.38711860905102E-6</v>
      </c>
      <c r="B6">
        <v>0.96932095447935795</v>
      </c>
      <c r="C6">
        <v>0.32300000000000001</v>
      </c>
      <c r="D6">
        <v>5.8000000000000003E-2</v>
      </c>
      <c r="E6">
        <v>0.12985775742393699</v>
      </c>
      <c r="F6" t="s">
        <v>1256</v>
      </c>
      <c r="G6" t="s">
        <v>1257</v>
      </c>
      <c r="H6" t="s">
        <v>1256</v>
      </c>
      <c r="I6" t="str">
        <f>HYPERLINK("https://zfin.org/ZDB-GENE-030131-9839")</f>
        <v>https://zfin.org/ZDB-GENE-030131-9839</v>
      </c>
      <c r="J6" t="s">
        <v>1255</v>
      </c>
    </row>
    <row r="7" spans="1:10" x14ac:dyDescent="0.2">
      <c r="A7">
        <v>1.0764118556520601E-5</v>
      </c>
      <c r="B7">
        <v>0.77883088744720896</v>
      </c>
      <c r="C7">
        <v>0.76</v>
      </c>
      <c r="D7">
        <v>0.5</v>
      </c>
      <c r="E7">
        <v>0.16666084761060801</v>
      </c>
      <c r="F7" t="s">
        <v>1247</v>
      </c>
      <c r="G7" t="s">
        <v>1248</v>
      </c>
      <c r="H7" t="s">
        <v>1247</v>
      </c>
      <c r="I7" t="str">
        <f>HYPERLINK("https://zfin.org/ZDB-GENE-040718-162")</f>
        <v>https://zfin.org/ZDB-GENE-040718-162</v>
      </c>
      <c r="J7" t="s">
        <v>1246</v>
      </c>
    </row>
    <row r="8" spans="1:10" x14ac:dyDescent="0.2">
      <c r="A8">
        <v>1.5126103244632199E-5</v>
      </c>
      <c r="B8">
        <v>0.73549300324158096</v>
      </c>
      <c r="C8">
        <v>0.67700000000000005</v>
      </c>
      <c r="D8">
        <v>0.372</v>
      </c>
      <c r="E8">
        <v>0.23419745653664001</v>
      </c>
      <c r="F8" t="s">
        <v>1229</v>
      </c>
      <c r="G8" t="s">
        <v>1230</v>
      </c>
      <c r="H8" t="s">
        <v>1229</v>
      </c>
      <c r="I8" t="str">
        <f>HYPERLINK("https://zfin.org/ZDB-GENE-040426-1937")</f>
        <v>https://zfin.org/ZDB-GENE-040426-1937</v>
      </c>
      <c r="J8" t="s">
        <v>1228</v>
      </c>
    </row>
    <row r="9" spans="1:10" x14ac:dyDescent="0.2">
      <c r="A9">
        <v>1.7647357727388099E-5</v>
      </c>
      <c r="B9">
        <v>0.70459542276871001</v>
      </c>
      <c r="C9">
        <v>0.63500000000000001</v>
      </c>
      <c r="D9">
        <v>0.29099999999999998</v>
      </c>
      <c r="E9">
        <v>0.27323403969315002</v>
      </c>
      <c r="F9" t="s">
        <v>1283</v>
      </c>
      <c r="G9" t="s">
        <v>1284</v>
      </c>
      <c r="H9" t="s">
        <v>1283</v>
      </c>
      <c r="I9" t="str">
        <f>HYPERLINK("https://zfin.org/ZDB-GENE-060503-475")</f>
        <v>https://zfin.org/ZDB-GENE-060503-475</v>
      </c>
      <c r="J9" t="s">
        <v>1282</v>
      </c>
    </row>
    <row r="10" spans="1:10" x14ac:dyDescent="0.2">
      <c r="A10">
        <v>5.8410479836128301E-5</v>
      </c>
      <c r="B10">
        <v>1.1795169465845301</v>
      </c>
      <c r="C10">
        <v>0.46899999999999997</v>
      </c>
      <c r="D10">
        <v>0.20899999999999999</v>
      </c>
      <c r="E10">
        <v>0.90436945930277501</v>
      </c>
      <c r="F10" t="s">
        <v>1277</v>
      </c>
      <c r="G10" t="s">
        <v>1278</v>
      </c>
      <c r="H10" t="s">
        <v>1277</v>
      </c>
      <c r="I10" t="str">
        <f>HYPERLINK("https://zfin.org/ZDB-GENE-050208-336")</f>
        <v>https://zfin.org/ZDB-GENE-050208-336</v>
      </c>
      <c r="J10" t="s">
        <v>1276</v>
      </c>
    </row>
    <row r="11" spans="1:10" x14ac:dyDescent="0.2">
      <c r="A11">
        <v>5.9764457645093302E-5</v>
      </c>
      <c r="B11">
        <v>0.61562765939769104</v>
      </c>
      <c r="C11">
        <v>0.33300000000000002</v>
      </c>
      <c r="D11">
        <v>8.1000000000000003E-2</v>
      </c>
      <c r="E11">
        <v>0.92533309771897998</v>
      </c>
      <c r="F11" t="s">
        <v>1701</v>
      </c>
      <c r="G11" t="s">
        <v>1702</v>
      </c>
      <c r="H11" t="s">
        <v>1701</v>
      </c>
      <c r="I11" t="str">
        <f>HYPERLINK("https://zfin.org/ZDB-GENE-030131-514")</f>
        <v>https://zfin.org/ZDB-GENE-030131-514</v>
      </c>
      <c r="J11" t="s">
        <v>1700</v>
      </c>
    </row>
    <row r="12" spans="1:10" x14ac:dyDescent="0.2">
      <c r="A12">
        <v>6.7044611151697003E-5</v>
      </c>
      <c r="B12">
        <v>0.72587681586234098</v>
      </c>
      <c r="C12">
        <v>0.19800000000000001</v>
      </c>
      <c r="D12">
        <v>1.2E-2</v>
      </c>
      <c r="E12">
        <v>1</v>
      </c>
      <c r="F12" t="s">
        <v>1184</v>
      </c>
      <c r="G12" t="s">
        <v>1185</v>
      </c>
      <c r="H12" t="s">
        <v>1184</v>
      </c>
      <c r="I12" t="str">
        <f>HYPERLINK("https://zfin.org/ZDB-GENE-131121-313")</f>
        <v>https://zfin.org/ZDB-GENE-131121-313</v>
      </c>
      <c r="J12" t="s">
        <v>1183</v>
      </c>
    </row>
    <row r="13" spans="1:10" x14ac:dyDescent="0.2">
      <c r="A13">
        <v>6.7951536834284695E-5</v>
      </c>
      <c r="B13">
        <v>0.54446535676347096</v>
      </c>
      <c r="C13">
        <v>0.59399999999999997</v>
      </c>
      <c r="D13">
        <v>0.26700000000000002</v>
      </c>
      <c r="E13">
        <v>1</v>
      </c>
      <c r="F13" t="s">
        <v>1698</v>
      </c>
      <c r="G13" t="s">
        <v>1699</v>
      </c>
      <c r="H13" t="s">
        <v>1698</v>
      </c>
      <c r="I13" t="str">
        <f>HYPERLINK("https://zfin.org/ZDB-GENE-030131-1226")</f>
        <v>https://zfin.org/ZDB-GENE-030131-1226</v>
      </c>
      <c r="J13" t="s">
        <v>1697</v>
      </c>
    </row>
    <row r="14" spans="1:10" x14ac:dyDescent="0.2">
      <c r="A14">
        <v>7.9016116189792099E-5</v>
      </c>
      <c r="B14">
        <v>0.52976065376091297</v>
      </c>
      <c r="C14">
        <v>0.34399999999999997</v>
      </c>
      <c r="D14">
        <v>9.2999999999999999E-2</v>
      </c>
      <c r="E14">
        <v>1</v>
      </c>
      <c r="F14" t="s">
        <v>1695</v>
      </c>
      <c r="G14" t="s">
        <v>1696</v>
      </c>
      <c r="H14" t="s">
        <v>1695</v>
      </c>
      <c r="I14" t="str">
        <f>HYPERLINK("https://zfin.org/ZDB-GENE-030131-6302")</f>
        <v>https://zfin.org/ZDB-GENE-030131-6302</v>
      </c>
      <c r="J14" t="s">
        <v>1694</v>
      </c>
    </row>
    <row r="15" spans="1:10" x14ac:dyDescent="0.2">
      <c r="A15">
        <v>1.0974699921064201E-4</v>
      </c>
      <c r="B15">
        <v>0.72629168369487296</v>
      </c>
      <c r="C15">
        <v>0.33300000000000002</v>
      </c>
      <c r="D15">
        <v>9.2999999999999999E-2</v>
      </c>
      <c r="E15">
        <v>1</v>
      </c>
      <c r="F15" t="s">
        <v>1692</v>
      </c>
      <c r="G15" t="s">
        <v>1693</v>
      </c>
      <c r="H15" t="s">
        <v>1692</v>
      </c>
      <c r="I15" t="str">
        <f>HYPERLINK("https://zfin.org/ZDB-GENE-030131-8387")</f>
        <v>https://zfin.org/ZDB-GENE-030131-8387</v>
      </c>
      <c r="J15" t="s">
        <v>1691</v>
      </c>
    </row>
    <row r="16" spans="1:10" x14ac:dyDescent="0.2">
      <c r="A16">
        <v>1.3972936805162401E-4</v>
      </c>
      <c r="B16">
        <v>0.508930287214716</v>
      </c>
      <c r="C16">
        <v>0.156</v>
      </c>
      <c r="D16">
        <v>0</v>
      </c>
      <c r="E16">
        <v>1</v>
      </c>
      <c r="F16" t="s">
        <v>1689</v>
      </c>
      <c r="G16" t="s">
        <v>1690</v>
      </c>
      <c r="H16" t="s">
        <v>1689</v>
      </c>
      <c r="I16" t="str">
        <f>HYPERLINK("https://zfin.org/ZDB-GENE-040426-925")</f>
        <v>https://zfin.org/ZDB-GENE-040426-925</v>
      </c>
      <c r="J16" t="s">
        <v>1688</v>
      </c>
    </row>
    <row r="17" spans="1:10" x14ac:dyDescent="0.2">
      <c r="A17">
        <v>1.6984988177299299E-4</v>
      </c>
      <c r="B17">
        <v>0.61308183540963401</v>
      </c>
      <c r="C17">
        <v>0.375</v>
      </c>
      <c r="D17">
        <v>0.11600000000000001</v>
      </c>
      <c r="E17">
        <v>1</v>
      </c>
      <c r="F17" t="s">
        <v>1686</v>
      </c>
      <c r="G17" t="s">
        <v>1687</v>
      </c>
      <c r="H17" t="s">
        <v>1686</v>
      </c>
      <c r="I17" t="str">
        <f>HYPERLINK("https://zfin.org/ZDB-GENE-050311-1")</f>
        <v>https://zfin.org/ZDB-GENE-050311-1</v>
      </c>
      <c r="J17" t="s">
        <v>1685</v>
      </c>
    </row>
    <row r="18" spans="1:10" x14ac:dyDescent="0.2">
      <c r="A18">
        <v>2.3779062002122399E-4</v>
      </c>
      <c r="B18">
        <v>0.90426364092598599</v>
      </c>
      <c r="C18">
        <v>0.30199999999999999</v>
      </c>
      <c r="D18">
        <v>8.1000000000000003E-2</v>
      </c>
      <c r="E18">
        <v>1</v>
      </c>
      <c r="F18" t="s">
        <v>1683</v>
      </c>
      <c r="G18" t="s">
        <v>1684</v>
      </c>
      <c r="H18" t="s">
        <v>1683</v>
      </c>
      <c r="I18" t="str">
        <f>HYPERLINK("https://zfin.org/ZDB-GENE-030411-6")</f>
        <v>https://zfin.org/ZDB-GENE-030411-6</v>
      </c>
      <c r="J18" t="s">
        <v>1682</v>
      </c>
    </row>
    <row r="19" spans="1:10" x14ac:dyDescent="0.2">
      <c r="A19">
        <v>2.4356086810955099E-4</v>
      </c>
      <c r="B19">
        <v>0.39370640776007598</v>
      </c>
      <c r="C19">
        <v>0.14599999999999999</v>
      </c>
      <c r="D19">
        <v>0</v>
      </c>
      <c r="E19">
        <v>1</v>
      </c>
      <c r="F19" t="s">
        <v>1680</v>
      </c>
      <c r="G19" t="s">
        <v>1681</v>
      </c>
      <c r="H19" t="s">
        <v>1680</v>
      </c>
      <c r="I19" t="str">
        <f>HYPERLINK("https://zfin.org/ZDB-GENE-030131-3112")</f>
        <v>https://zfin.org/ZDB-GENE-030131-3112</v>
      </c>
      <c r="J19" t="s">
        <v>1679</v>
      </c>
    </row>
    <row r="20" spans="1:10" x14ac:dyDescent="0.2">
      <c r="A20">
        <v>2.69852969550012E-4</v>
      </c>
      <c r="B20">
        <v>0.55783834333747395</v>
      </c>
      <c r="C20">
        <v>0.66700000000000004</v>
      </c>
      <c r="D20">
        <v>0.41899999999999998</v>
      </c>
      <c r="E20">
        <v>1</v>
      </c>
      <c r="F20" t="s">
        <v>1677</v>
      </c>
      <c r="G20" t="s">
        <v>1678</v>
      </c>
      <c r="H20" t="s">
        <v>1677</v>
      </c>
      <c r="I20" t="str">
        <f>HYPERLINK("https://zfin.org/ZDB-GENE-080204-124")</f>
        <v>https://zfin.org/ZDB-GENE-080204-124</v>
      </c>
      <c r="J20" t="s">
        <v>1676</v>
      </c>
    </row>
    <row r="21" spans="1:10" x14ac:dyDescent="0.2">
      <c r="A21">
        <v>2.8526945467423597E-4</v>
      </c>
      <c r="B21">
        <v>0.50269187970896601</v>
      </c>
      <c r="C21">
        <v>0.39600000000000002</v>
      </c>
      <c r="D21">
        <v>0.14000000000000001</v>
      </c>
      <c r="E21">
        <v>1</v>
      </c>
      <c r="F21" t="s">
        <v>1674</v>
      </c>
      <c r="G21" t="s">
        <v>1675</v>
      </c>
      <c r="H21" t="s">
        <v>1674</v>
      </c>
      <c r="I21" t="str">
        <f>HYPERLINK("https://zfin.org/ZDB-GENE-031204-4")</f>
        <v>https://zfin.org/ZDB-GENE-031204-4</v>
      </c>
      <c r="J21" t="s">
        <v>1673</v>
      </c>
    </row>
    <row r="22" spans="1:10" x14ac:dyDescent="0.2">
      <c r="A22">
        <v>3.4597548013433701E-4</v>
      </c>
      <c r="B22">
        <v>0.51755941345156797</v>
      </c>
      <c r="C22">
        <v>0.78100000000000003</v>
      </c>
      <c r="D22">
        <v>0.58099999999999996</v>
      </c>
      <c r="E22">
        <v>1</v>
      </c>
      <c r="F22" t="s">
        <v>1208</v>
      </c>
      <c r="G22" t="s">
        <v>1209</v>
      </c>
      <c r="H22" t="s">
        <v>1208</v>
      </c>
      <c r="I22" t="str">
        <f>HYPERLINK("https://zfin.org/ZDB-GENE-020802-2")</f>
        <v>https://zfin.org/ZDB-GENE-020802-2</v>
      </c>
      <c r="J22" t="s">
        <v>1207</v>
      </c>
    </row>
    <row r="23" spans="1:10" x14ac:dyDescent="0.2">
      <c r="A23">
        <v>3.4945162448791898E-4</v>
      </c>
      <c r="B23">
        <v>0.55700534116162903</v>
      </c>
      <c r="C23">
        <v>0.219</v>
      </c>
      <c r="D23">
        <v>3.5000000000000003E-2</v>
      </c>
      <c r="E23">
        <v>1</v>
      </c>
      <c r="F23" t="s">
        <v>1671</v>
      </c>
      <c r="G23" t="s">
        <v>1672</v>
      </c>
      <c r="H23" t="s">
        <v>1671</v>
      </c>
      <c r="I23" t="str">
        <f>HYPERLINK("https://zfin.org/ZDB-GENE-131127-627")</f>
        <v>https://zfin.org/ZDB-GENE-131127-627</v>
      </c>
      <c r="J23" t="s">
        <v>1670</v>
      </c>
    </row>
    <row r="24" spans="1:10" x14ac:dyDescent="0.2">
      <c r="A24">
        <v>4.4545355809411401E-4</v>
      </c>
      <c r="B24">
        <v>0.68696659624350898</v>
      </c>
      <c r="C24">
        <v>0.188</v>
      </c>
      <c r="D24">
        <v>2.3E-2</v>
      </c>
      <c r="E24">
        <v>1</v>
      </c>
      <c r="F24" t="s">
        <v>1095</v>
      </c>
      <c r="G24" t="s">
        <v>1096</v>
      </c>
      <c r="H24" t="s">
        <v>1095</v>
      </c>
      <c r="I24" t="str">
        <f>HYPERLINK("https://zfin.org/ZDB-GENE-131120-18")</f>
        <v>https://zfin.org/ZDB-GENE-131120-18</v>
      </c>
      <c r="J24" t="s">
        <v>1094</v>
      </c>
    </row>
    <row r="25" spans="1:10" x14ac:dyDescent="0.2">
      <c r="A25">
        <v>4.5348957417719999E-4</v>
      </c>
      <c r="B25">
        <v>0.61262017454002504</v>
      </c>
      <c r="C25">
        <v>0.54200000000000004</v>
      </c>
      <c r="D25">
        <v>0.29099999999999998</v>
      </c>
      <c r="E25">
        <v>1</v>
      </c>
      <c r="F25" t="s">
        <v>1152</v>
      </c>
      <c r="G25" t="s">
        <v>1153</v>
      </c>
      <c r="H25" t="s">
        <v>1152</v>
      </c>
      <c r="I25" t="str">
        <f>HYPERLINK("https://zfin.org/ZDB-GENE-030131-3481")</f>
        <v>https://zfin.org/ZDB-GENE-030131-3481</v>
      </c>
      <c r="J25" t="s">
        <v>1151</v>
      </c>
    </row>
    <row r="26" spans="1:10" x14ac:dyDescent="0.2">
      <c r="A26">
        <v>4.9163591581227696E-4</v>
      </c>
      <c r="B26">
        <v>0.45717761466796197</v>
      </c>
      <c r="C26">
        <v>0.74</v>
      </c>
      <c r="D26">
        <v>0.5</v>
      </c>
      <c r="E26">
        <v>1</v>
      </c>
      <c r="F26" t="s">
        <v>1178</v>
      </c>
      <c r="G26" t="s">
        <v>1179</v>
      </c>
      <c r="H26" t="s">
        <v>1178</v>
      </c>
      <c r="I26" t="str">
        <f>HYPERLINK("https://zfin.org/ZDB-GENE-040426-1877")</f>
        <v>https://zfin.org/ZDB-GENE-040426-1877</v>
      </c>
      <c r="J26" t="s">
        <v>1177</v>
      </c>
    </row>
    <row r="27" spans="1:10" x14ac:dyDescent="0.2">
      <c r="A27">
        <v>5.4318945467740805E-4</v>
      </c>
      <c r="B27">
        <v>0.45437427452422002</v>
      </c>
      <c r="C27">
        <v>0.64600000000000002</v>
      </c>
      <c r="D27">
        <v>0.40699999999999997</v>
      </c>
      <c r="E27">
        <v>1</v>
      </c>
      <c r="F27" t="s">
        <v>1668</v>
      </c>
      <c r="G27" t="s">
        <v>1669</v>
      </c>
      <c r="H27" t="s">
        <v>1668</v>
      </c>
      <c r="I27" t="str">
        <f>HYPERLINK("https://zfin.org/ZDB-GENE-030131-124")</f>
        <v>https://zfin.org/ZDB-GENE-030131-124</v>
      </c>
      <c r="J27" t="s">
        <v>1667</v>
      </c>
    </row>
    <row r="28" spans="1:10" x14ac:dyDescent="0.2">
      <c r="A28">
        <v>5.7406418282499895E-4</v>
      </c>
      <c r="B28">
        <v>0.579397781969476</v>
      </c>
      <c r="C28">
        <v>0.39600000000000002</v>
      </c>
      <c r="D28">
        <v>0.17399999999999999</v>
      </c>
      <c r="E28">
        <v>1</v>
      </c>
      <c r="F28" t="s">
        <v>1665</v>
      </c>
      <c r="G28" t="s">
        <v>1666</v>
      </c>
      <c r="H28" t="s">
        <v>1665</v>
      </c>
      <c r="I28" t="str">
        <f>HYPERLINK("https://zfin.org/ZDB-GENE-040625-45")</f>
        <v>https://zfin.org/ZDB-GENE-040625-45</v>
      </c>
      <c r="J28" t="s">
        <v>1664</v>
      </c>
    </row>
    <row r="29" spans="1:10" x14ac:dyDescent="0.2">
      <c r="A29">
        <v>5.8034243800497297E-4</v>
      </c>
      <c r="B29">
        <v>0.49767711783855501</v>
      </c>
      <c r="C29">
        <v>0.438</v>
      </c>
      <c r="D29">
        <v>0.186</v>
      </c>
      <c r="E29">
        <v>1</v>
      </c>
      <c r="F29" t="s">
        <v>1662</v>
      </c>
      <c r="G29" t="s">
        <v>1663</v>
      </c>
      <c r="H29" t="s">
        <v>1662</v>
      </c>
      <c r="I29" t="str">
        <f>HYPERLINK("https://zfin.org/ZDB-GENE-040426-1691")</f>
        <v>https://zfin.org/ZDB-GENE-040426-1691</v>
      </c>
      <c r="J29" t="s">
        <v>1661</v>
      </c>
    </row>
    <row r="30" spans="1:10" x14ac:dyDescent="0.2">
      <c r="A30">
        <v>7.32133694065831E-4</v>
      </c>
      <c r="B30">
        <v>0.52866975891426904</v>
      </c>
      <c r="C30">
        <v>0.125</v>
      </c>
      <c r="D30">
        <v>0</v>
      </c>
      <c r="E30">
        <v>1</v>
      </c>
      <c r="F30" t="s">
        <v>1659</v>
      </c>
      <c r="G30" t="s">
        <v>1660</v>
      </c>
      <c r="H30" t="s">
        <v>1659</v>
      </c>
      <c r="I30" t="str">
        <f>HYPERLINK("https://zfin.org/ZDB-GENE-120525-2")</f>
        <v>https://zfin.org/ZDB-GENE-120525-2</v>
      </c>
      <c r="J30" t="s">
        <v>1658</v>
      </c>
    </row>
    <row r="31" spans="1:10" x14ac:dyDescent="0.2">
      <c r="A31">
        <v>7.6406196788038902E-4</v>
      </c>
      <c r="B31">
        <v>0.393952955708398</v>
      </c>
      <c r="C31">
        <v>0.46899999999999997</v>
      </c>
      <c r="D31">
        <v>0.186</v>
      </c>
      <c r="E31">
        <v>1</v>
      </c>
      <c r="F31" t="s">
        <v>800</v>
      </c>
      <c r="G31" t="s">
        <v>801</v>
      </c>
      <c r="H31" t="s">
        <v>800</v>
      </c>
      <c r="I31" t="str">
        <f>HYPERLINK("https://zfin.org/ZDB-GENE-030131-7787")</f>
        <v>https://zfin.org/ZDB-GENE-030131-7787</v>
      </c>
      <c r="J31" t="s">
        <v>799</v>
      </c>
    </row>
    <row r="32" spans="1:10" x14ac:dyDescent="0.2">
      <c r="A32">
        <v>7.6989211136060595E-4</v>
      </c>
      <c r="B32">
        <v>0.54372227056312095</v>
      </c>
      <c r="C32">
        <v>0.46899999999999997</v>
      </c>
      <c r="D32">
        <v>0.20899999999999999</v>
      </c>
      <c r="E32">
        <v>1</v>
      </c>
      <c r="F32" t="s">
        <v>1286</v>
      </c>
      <c r="G32" t="s">
        <v>1287</v>
      </c>
      <c r="H32" t="s">
        <v>1286</v>
      </c>
      <c r="I32" t="str">
        <f>HYPERLINK("https://zfin.org/ZDB-GENE-040718-335")</f>
        <v>https://zfin.org/ZDB-GENE-040718-335</v>
      </c>
      <c r="J32" t="s">
        <v>1285</v>
      </c>
    </row>
    <row r="33" spans="1:10" x14ac:dyDescent="0.2">
      <c r="A33">
        <v>7.9599849484656099E-4</v>
      </c>
      <c r="B33">
        <v>0.53802043046441195</v>
      </c>
      <c r="C33">
        <v>0.5</v>
      </c>
      <c r="D33">
        <v>0.26700000000000002</v>
      </c>
      <c r="E33">
        <v>1</v>
      </c>
      <c r="F33" t="s">
        <v>1656</v>
      </c>
      <c r="G33" t="s">
        <v>1657</v>
      </c>
      <c r="H33" t="s">
        <v>1656</v>
      </c>
      <c r="I33" t="str">
        <f>HYPERLINK("https://zfin.org/ZDB-GENE-020430-2")</f>
        <v>https://zfin.org/ZDB-GENE-020430-2</v>
      </c>
      <c r="J33" t="s">
        <v>1655</v>
      </c>
    </row>
    <row r="34" spans="1:10" x14ac:dyDescent="0.2">
      <c r="A34">
        <v>8.5859598199795103E-4</v>
      </c>
      <c r="B34">
        <v>0.439825389662439</v>
      </c>
      <c r="C34">
        <v>0.32300000000000001</v>
      </c>
      <c r="D34">
        <v>0.105</v>
      </c>
      <c r="E34">
        <v>1</v>
      </c>
      <c r="F34" t="s">
        <v>1653</v>
      </c>
      <c r="G34" t="s">
        <v>1654</v>
      </c>
      <c r="H34" t="s">
        <v>1653</v>
      </c>
      <c r="I34" t="str">
        <f>HYPERLINK("https://zfin.org/ZDB-GENE-040625-146")</f>
        <v>https://zfin.org/ZDB-GENE-040625-146</v>
      </c>
      <c r="J34" t="s">
        <v>1652</v>
      </c>
    </row>
    <row r="35" spans="1:10" x14ac:dyDescent="0.2">
      <c r="A35">
        <v>1.0301703133567899E-3</v>
      </c>
      <c r="B35">
        <v>0.77746671976716697</v>
      </c>
      <c r="C35">
        <v>0.42699999999999999</v>
      </c>
      <c r="D35">
        <v>0.19800000000000001</v>
      </c>
      <c r="E35">
        <v>1</v>
      </c>
      <c r="F35" t="s">
        <v>1214</v>
      </c>
      <c r="G35" t="s">
        <v>1215</v>
      </c>
      <c r="H35" t="s">
        <v>1214</v>
      </c>
      <c r="I35" t="str">
        <f>HYPERLINK("https://zfin.org/ZDB-GENE-980526-249")</f>
        <v>https://zfin.org/ZDB-GENE-980526-249</v>
      </c>
      <c r="J35" t="s">
        <v>1213</v>
      </c>
    </row>
    <row r="36" spans="1:10" x14ac:dyDescent="0.2">
      <c r="A36">
        <v>1.07946378882226E-3</v>
      </c>
      <c r="B36">
        <v>0.41899285824749</v>
      </c>
      <c r="C36">
        <v>0.49</v>
      </c>
      <c r="D36">
        <v>0.23300000000000001</v>
      </c>
      <c r="E36">
        <v>1</v>
      </c>
      <c r="F36" t="s">
        <v>1650</v>
      </c>
      <c r="G36" t="s">
        <v>1651</v>
      </c>
      <c r="H36" t="s">
        <v>1650</v>
      </c>
      <c r="I36" t="str">
        <f>HYPERLINK("https://zfin.org/ZDB-GENE-030113-3")</f>
        <v>https://zfin.org/ZDB-GENE-030113-3</v>
      </c>
      <c r="J36" t="s">
        <v>1649</v>
      </c>
    </row>
    <row r="37" spans="1:10" x14ac:dyDescent="0.2">
      <c r="A37">
        <v>1.1239394400887901E-3</v>
      </c>
      <c r="B37">
        <v>0.41307319466577802</v>
      </c>
      <c r="C37">
        <v>0.47899999999999998</v>
      </c>
      <c r="D37">
        <v>0.221</v>
      </c>
      <c r="E37">
        <v>1</v>
      </c>
      <c r="F37" t="s">
        <v>1364</v>
      </c>
      <c r="G37" t="s">
        <v>1365</v>
      </c>
      <c r="H37" t="s">
        <v>1364</v>
      </c>
      <c r="I37" t="str">
        <f>HYPERLINK("https://zfin.org/ZDB-GENE-020913-1")</f>
        <v>https://zfin.org/ZDB-GENE-020913-1</v>
      </c>
      <c r="J37" t="s">
        <v>1363</v>
      </c>
    </row>
    <row r="38" spans="1:10" x14ac:dyDescent="0.2">
      <c r="A38">
        <v>1.2294215830950101E-3</v>
      </c>
      <c r="B38">
        <v>0.38338003735697601</v>
      </c>
      <c r="C38">
        <v>0.38500000000000001</v>
      </c>
      <c r="D38">
        <v>0.14000000000000001</v>
      </c>
      <c r="E38">
        <v>1</v>
      </c>
      <c r="F38" t="s">
        <v>1647</v>
      </c>
      <c r="G38" t="s">
        <v>1648</v>
      </c>
      <c r="H38" t="s">
        <v>1647</v>
      </c>
      <c r="I38" t="str">
        <f>HYPERLINK("https://zfin.org/ZDB-GENE-050208-306")</f>
        <v>https://zfin.org/ZDB-GENE-050208-306</v>
      </c>
      <c r="J38" t="s">
        <v>1646</v>
      </c>
    </row>
    <row r="39" spans="1:10" x14ac:dyDescent="0.2">
      <c r="A39">
        <v>1.23544730225941E-3</v>
      </c>
      <c r="B39">
        <v>0.49395818911196299</v>
      </c>
      <c r="C39">
        <v>0.64600000000000002</v>
      </c>
      <c r="D39">
        <v>0.41899999999999998</v>
      </c>
      <c r="E39">
        <v>1</v>
      </c>
      <c r="F39" t="s">
        <v>1644</v>
      </c>
      <c r="G39" t="s">
        <v>1645</v>
      </c>
      <c r="H39" t="s">
        <v>1644</v>
      </c>
      <c r="I39" t="str">
        <f>HYPERLINK("https://zfin.org/ZDB-GENE-040718-197")</f>
        <v>https://zfin.org/ZDB-GENE-040718-197</v>
      </c>
      <c r="J39" t="s">
        <v>1643</v>
      </c>
    </row>
    <row r="40" spans="1:10" x14ac:dyDescent="0.2">
      <c r="A40">
        <v>1.26250210142779E-3</v>
      </c>
      <c r="B40">
        <v>0.43042304680749699</v>
      </c>
      <c r="C40">
        <v>0.33300000000000002</v>
      </c>
      <c r="D40">
        <v>0.11600000000000001</v>
      </c>
      <c r="E40">
        <v>1</v>
      </c>
      <c r="F40" t="s">
        <v>1641</v>
      </c>
      <c r="G40" t="s">
        <v>1642</v>
      </c>
      <c r="H40" t="s">
        <v>1641</v>
      </c>
      <c r="I40" t="str">
        <f>HYPERLINK("https://zfin.org/ZDB-GENE-041001-170")</f>
        <v>https://zfin.org/ZDB-GENE-041001-170</v>
      </c>
      <c r="J40" t="s">
        <v>1640</v>
      </c>
    </row>
    <row r="41" spans="1:10" x14ac:dyDescent="0.2">
      <c r="A41">
        <v>1.2635471738300999E-3</v>
      </c>
      <c r="B41">
        <v>0.50010066967997002</v>
      </c>
      <c r="C41">
        <v>0.115</v>
      </c>
      <c r="D41">
        <v>0</v>
      </c>
      <c r="E41">
        <v>1</v>
      </c>
      <c r="F41" t="s">
        <v>1638</v>
      </c>
      <c r="G41" t="s">
        <v>1639</v>
      </c>
      <c r="H41" t="s">
        <v>1638</v>
      </c>
      <c r="I41" t="str">
        <f>HYPERLINK("https://zfin.org/ZDB-GENE-070410-7")</f>
        <v>https://zfin.org/ZDB-GENE-070410-7</v>
      </c>
      <c r="J41" t="s">
        <v>1637</v>
      </c>
    </row>
    <row r="42" spans="1:10" x14ac:dyDescent="0.2">
      <c r="A42">
        <v>1.29727648704508E-3</v>
      </c>
      <c r="B42">
        <v>0.52001579101908302</v>
      </c>
      <c r="C42">
        <v>0.28100000000000003</v>
      </c>
      <c r="D42">
        <v>8.1000000000000003E-2</v>
      </c>
      <c r="E42">
        <v>1</v>
      </c>
      <c r="F42" t="s">
        <v>1635</v>
      </c>
      <c r="G42" t="s">
        <v>1636</v>
      </c>
      <c r="H42" t="s">
        <v>1635</v>
      </c>
      <c r="I42" t="str">
        <f>HYPERLINK("https://zfin.org/")</f>
        <v>https://zfin.org/</v>
      </c>
      <c r="J42" t="s">
        <v>1634</v>
      </c>
    </row>
    <row r="43" spans="1:10" x14ac:dyDescent="0.2">
      <c r="A43">
        <v>1.3161204135040099E-3</v>
      </c>
      <c r="B43">
        <v>0.51567668551491697</v>
      </c>
      <c r="C43">
        <v>0.25</v>
      </c>
      <c r="D43">
        <v>7.0000000000000007E-2</v>
      </c>
      <c r="E43">
        <v>1</v>
      </c>
      <c r="F43" t="s">
        <v>1632</v>
      </c>
      <c r="G43" t="s">
        <v>1633</v>
      </c>
      <c r="H43" t="s">
        <v>1632</v>
      </c>
      <c r="I43" t="str">
        <f>HYPERLINK("https://zfin.org/ZDB-GENE-050417-96")</f>
        <v>https://zfin.org/ZDB-GENE-050417-96</v>
      </c>
      <c r="J43" t="s">
        <v>1631</v>
      </c>
    </row>
    <row r="44" spans="1:10" x14ac:dyDescent="0.2">
      <c r="A44">
        <v>1.6722881900760999E-3</v>
      </c>
      <c r="B44">
        <v>0.78521538634828003</v>
      </c>
      <c r="C44">
        <v>0.58299999999999996</v>
      </c>
      <c r="D44">
        <v>0.43</v>
      </c>
      <c r="E44">
        <v>1</v>
      </c>
      <c r="F44" t="s">
        <v>1629</v>
      </c>
      <c r="G44" t="s">
        <v>1630</v>
      </c>
      <c r="H44" t="s">
        <v>1629</v>
      </c>
      <c r="I44" t="str">
        <f>HYPERLINK("https://zfin.org/ZDB-GENE-070424-74")</f>
        <v>https://zfin.org/ZDB-GENE-070424-74</v>
      </c>
      <c r="J44" t="s">
        <v>1628</v>
      </c>
    </row>
    <row r="45" spans="1:10" x14ac:dyDescent="0.2">
      <c r="A45">
        <v>1.6787605434529999E-3</v>
      </c>
      <c r="B45">
        <v>0.48127415764354597</v>
      </c>
      <c r="C45">
        <v>0.30199999999999999</v>
      </c>
      <c r="D45">
        <v>0.105</v>
      </c>
      <c r="E45">
        <v>1</v>
      </c>
      <c r="F45" t="s">
        <v>1626</v>
      </c>
      <c r="G45" t="s">
        <v>1627</v>
      </c>
      <c r="H45" t="s">
        <v>1626</v>
      </c>
      <c r="I45" t="str">
        <f>HYPERLINK("https://zfin.org/ZDB-GENE-030131-3264")</f>
        <v>https://zfin.org/ZDB-GENE-030131-3264</v>
      </c>
      <c r="J45" t="s">
        <v>1625</v>
      </c>
    </row>
    <row r="46" spans="1:10" x14ac:dyDescent="0.2">
      <c r="A46">
        <v>1.6818940614749501E-3</v>
      </c>
      <c r="B46">
        <v>0.42304861454207698</v>
      </c>
      <c r="C46">
        <v>0.13500000000000001</v>
      </c>
      <c r="D46">
        <v>1.2E-2</v>
      </c>
      <c r="E46">
        <v>1</v>
      </c>
      <c r="F46" t="s">
        <v>1623</v>
      </c>
      <c r="G46" t="s">
        <v>1624</v>
      </c>
      <c r="H46" t="s">
        <v>1623</v>
      </c>
      <c r="I46" t="str">
        <f>HYPERLINK("https://zfin.org/ZDB-GENE-070705-365")</f>
        <v>https://zfin.org/ZDB-GENE-070705-365</v>
      </c>
      <c r="J46" t="s">
        <v>1622</v>
      </c>
    </row>
    <row r="47" spans="1:10" x14ac:dyDescent="0.2">
      <c r="A47">
        <v>1.6996466297844199E-3</v>
      </c>
      <c r="B47">
        <v>0.43414710618420799</v>
      </c>
      <c r="C47">
        <v>0.32300000000000001</v>
      </c>
      <c r="D47">
        <v>0.11600000000000001</v>
      </c>
      <c r="E47">
        <v>1</v>
      </c>
      <c r="F47" t="s">
        <v>1620</v>
      </c>
      <c r="G47" t="s">
        <v>1621</v>
      </c>
      <c r="H47" t="s">
        <v>1620</v>
      </c>
      <c r="I47" t="str">
        <f>HYPERLINK("https://zfin.org/ZDB-GENE-081104-272")</f>
        <v>https://zfin.org/ZDB-GENE-081104-272</v>
      </c>
      <c r="J47" t="s">
        <v>1619</v>
      </c>
    </row>
    <row r="48" spans="1:10" x14ac:dyDescent="0.2">
      <c r="A48">
        <v>1.7502404123011001E-3</v>
      </c>
      <c r="B48">
        <v>0.49121934973773501</v>
      </c>
      <c r="C48">
        <v>0.24</v>
      </c>
      <c r="D48">
        <v>7.0000000000000007E-2</v>
      </c>
      <c r="E48">
        <v>1</v>
      </c>
      <c r="F48" t="s">
        <v>1617</v>
      </c>
      <c r="G48" t="s">
        <v>1618</v>
      </c>
      <c r="H48" t="s">
        <v>1617</v>
      </c>
      <c r="I48" t="str">
        <f>HYPERLINK("https://zfin.org/ZDB-GENE-090507-1")</f>
        <v>https://zfin.org/ZDB-GENE-090507-1</v>
      </c>
      <c r="J48" t="s">
        <v>1616</v>
      </c>
    </row>
    <row r="49" spans="1:10" x14ac:dyDescent="0.2">
      <c r="A49">
        <v>1.80562025987688E-3</v>
      </c>
      <c r="B49">
        <v>0.51153475677377402</v>
      </c>
      <c r="C49">
        <v>0.39600000000000002</v>
      </c>
      <c r="D49">
        <v>0.17399999999999999</v>
      </c>
      <c r="E49">
        <v>1</v>
      </c>
      <c r="F49" t="s">
        <v>1164</v>
      </c>
      <c r="G49" t="s">
        <v>1165</v>
      </c>
      <c r="H49" t="s">
        <v>1164</v>
      </c>
      <c r="I49" t="str">
        <f>HYPERLINK("https://zfin.org/ZDB-GENE-030131-6134")</f>
        <v>https://zfin.org/ZDB-GENE-030131-6134</v>
      </c>
      <c r="J49" t="s">
        <v>1163</v>
      </c>
    </row>
    <row r="50" spans="1:10" x14ac:dyDescent="0.2">
      <c r="A50">
        <v>1.85161083878057E-3</v>
      </c>
      <c r="B50">
        <v>0.32598106628210399</v>
      </c>
      <c r="C50">
        <v>0.20799999999999999</v>
      </c>
      <c r="D50">
        <v>4.7E-2</v>
      </c>
      <c r="E50">
        <v>1</v>
      </c>
      <c r="F50" t="s">
        <v>1614</v>
      </c>
      <c r="G50" t="s">
        <v>1615</v>
      </c>
      <c r="H50" t="s">
        <v>1614</v>
      </c>
      <c r="I50" t="str">
        <f>HYPERLINK("https://zfin.org/ZDB-GENE-120406-11")</f>
        <v>https://zfin.org/ZDB-GENE-120406-11</v>
      </c>
      <c r="J50" t="s">
        <v>1613</v>
      </c>
    </row>
    <row r="51" spans="1:10" x14ac:dyDescent="0.2">
      <c r="A51">
        <v>1.9189035982280799E-3</v>
      </c>
      <c r="B51">
        <v>0.442548376437643</v>
      </c>
      <c r="C51">
        <v>0.40600000000000003</v>
      </c>
      <c r="D51">
        <v>0.186</v>
      </c>
      <c r="E51">
        <v>1</v>
      </c>
      <c r="F51" t="s">
        <v>1611</v>
      </c>
      <c r="G51" t="s">
        <v>1612</v>
      </c>
      <c r="H51" t="s">
        <v>1611</v>
      </c>
      <c r="I51" t="str">
        <f>HYPERLINK("https://zfin.org/ZDB-GENE-060526-81")</f>
        <v>https://zfin.org/ZDB-GENE-060526-81</v>
      </c>
      <c r="J51" t="s">
        <v>1610</v>
      </c>
    </row>
    <row r="52" spans="1:10" x14ac:dyDescent="0.2">
      <c r="A52">
        <v>1.9730456485677699E-3</v>
      </c>
      <c r="B52">
        <v>0.414716801788931</v>
      </c>
      <c r="C52">
        <v>0.30199999999999999</v>
      </c>
      <c r="D52">
        <v>0.105</v>
      </c>
      <c r="E52">
        <v>1</v>
      </c>
      <c r="F52" t="s">
        <v>1608</v>
      </c>
      <c r="G52" t="s">
        <v>1609</v>
      </c>
      <c r="H52" t="s">
        <v>1608</v>
      </c>
      <c r="I52" t="str">
        <f>HYPERLINK("https://zfin.org/ZDB-GENE-990614-17")</f>
        <v>https://zfin.org/ZDB-GENE-990614-17</v>
      </c>
      <c r="J52" t="s">
        <v>1607</v>
      </c>
    </row>
    <row r="53" spans="1:10" x14ac:dyDescent="0.2">
      <c r="A53">
        <v>2.1191291935111498E-3</v>
      </c>
      <c r="B53">
        <v>0.37982023178275298</v>
      </c>
      <c r="C53">
        <v>0.5</v>
      </c>
      <c r="D53">
        <v>0.24399999999999999</v>
      </c>
      <c r="E53">
        <v>1</v>
      </c>
      <c r="F53" t="s">
        <v>1605</v>
      </c>
      <c r="G53" t="s">
        <v>1606</v>
      </c>
      <c r="H53" t="s">
        <v>1605</v>
      </c>
      <c r="I53" t="str">
        <f>HYPERLINK("https://zfin.org/ZDB-GENE-050417-170")</f>
        <v>https://zfin.org/ZDB-GENE-050417-170</v>
      </c>
      <c r="J53" t="s">
        <v>1604</v>
      </c>
    </row>
    <row r="54" spans="1:10" x14ac:dyDescent="0.2">
      <c r="A54">
        <v>2.14248931882597E-3</v>
      </c>
      <c r="B54">
        <v>0.52433928191555101</v>
      </c>
      <c r="C54">
        <v>0.32300000000000001</v>
      </c>
      <c r="D54">
        <v>0.128</v>
      </c>
      <c r="E54">
        <v>1</v>
      </c>
      <c r="F54" t="s">
        <v>1602</v>
      </c>
      <c r="G54" t="s">
        <v>1603</v>
      </c>
      <c r="H54" t="s">
        <v>1602</v>
      </c>
      <c r="I54" t="str">
        <f>HYPERLINK("https://zfin.org/ZDB-GENE-041014-328")</f>
        <v>https://zfin.org/ZDB-GENE-041014-328</v>
      </c>
      <c r="J54" t="s">
        <v>1601</v>
      </c>
    </row>
    <row r="55" spans="1:10" x14ac:dyDescent="0.2">
      <c r="A55">
        <v>2.1754616009243399E-3</v>
      </c>
      <c r="B55">
        <v>0.38033542167482398</v>
      </c>
      <c r="C55">
        <v>0.104</v>
      </c>
      <c r="D55">
        <v>0</v>
      </c>
      <c r="E55">
        <v>1</v>
      </c>
      <c r="F55" t="s">
        <v>1599</v>
      </c>
      <c r="G55" t="s">
        <v>1600</v>
      </c>
      <c r="H55" t="s">
        <v>1599</v>
      </c>
      <c r="I55" t="str">
        <f>HYPERLINK("https://zfin.org/ZDB-GENE-041114-149")</f>
        <v>https://zfin.org/ZDB-GENE-041114-149</v>
      </c>
      <c r="J55" t="s">
        <v>1598</v>
      </c>
    </row>
    <row r="56" spans="1:10" x14ac:dyDescent="0.2">
      <c r="A56">
        <v>2.1754616009243399E-3</v>
      </c>
      <c r="B56">
        <v>0.37873533386225899</v>
      </c>
      <c r="C56">
        <v>0.104</v>
      </c>
      <c r="D56">
        <v>0</v>
      </c>
      <c r="E56">
        <v>1</v>
      </c>
      <c r="F56" t="s">
        <v>1596</v>
      </c>
      <c r="G56" t="s">
        <v>1597</v>
      </c>
      <c r="H56" t="s">
        <v>1596</v>
      </c>
      <c r="I56" t="str">
        <f>HYPERLINK("https://zfin.org/ZDB-GENE-030131-5365")</f>
        <v>https://zfin.org/ZDB-GENE-030131-5365</v>
      </c>
      <c r="J56" t="s">
        <v>1595</v>
      </c>
    </row>
    <row r="57" spans="1:10" x14ac:dyDescent="0.2">
      <c r="A57">
        <v>2.1867319894956099E-3</v>
      </c>
      <c r="B57">
        <v>0.51601547990093999</v>
      </c>
      <c r="C57">
        <v>0.33300000000000002</v>
      </c>
      <c r="D57">
        <v>0.128</v>
      </c>
      <c r="E57">
        <v>1</v>
      </c>
      <c r="F57" t="s">
        <v>1220</v>
      </c>
      <c r="G57" t="s">
        <v>1221</v>
      </c>
      <c r="H57" t="s">
        <v>1220</v>
      </c>
      <c r="I57" t="str">
        <f>HYPERLINK("https://zfin.org/ZDB-GENE-060610-3")</f>
        <v>https://zfin.org/ZDB-GENE-060610-3</v>
      </c>
      <c r="J57" t="s">
        <v>1219</v>
      </c>
    </row>
    <row r="58" spans="1:10" x14ac:dyDescent="0.2">
      <c r="A58">
        <v>2.24018127549671E-3</v>
      </c>
      <c r="B58">
        <v>0.38209369365358098</v>
      </c>
      <c r="C58">
        <v>0.156</v>
      </c>
      <c r="D58">
        <v>2.3E-2</v>
      </c>
      <c r="E58">
        <v>1</v>
      </c>
      <c r="F58" t="s">
        <v>1593</v>
      </c>
      <c r="G58" t="s">
        <v>1594</v>
      </c>
      <c r="H58" t="s">
        <v>1593</v>
      </c>
      <c r="I58" t="str">
        <f>HYPERLINK("https://zfin.org/ZDB-GENE-040625-104")</f>
        <v>https://zfin.org/ZDB-GENE-040625-104</v>
      </c>
      <c r="J58" t="s">
        <v>1592</v>
      </c>
    </row>
    <row r="59" spans="1:10" x14ac:dyDescent="0.2">
      <c r="A59">
        <v>2.25485160650427E-3</v>
      </c>
      <c r="B59">
        <v>0.41055989636901402</v>
      </c>
      <c r="C59">
        <v>0.24</v>
      </c>
      <c r="D59">
        <v>7.0000000000000007E-2</v>
      </c>
      <c r="E59">
        <v>1</v>
      </c>
      <c r="F59" t="s">
        <v>1590</v>
      </c>
      <c r="G59" t="s">
        <v>1591</v>
      </c>
      <c r="H59" t="s">
        <v>1590</v>
      </c>
      <c r="I59" t="str">
        <f>HYPERLINK("https://zfin.org/ZDB-GENE-040718-279")</f>
        <v>https://zfin.org/ZDB-GENE-040718-279</v>
      </c>
      <c r="J59" t="s">
        <v>1589</v>
      </c>
    </row>
    <row r="60" spans="1:10" x14ac:dyDescent="0.2">
      <c r="A60">
        <v>2.2642339268467001E-3</v>
      </c>
      <c r="B60">
        <v>0.51532789695021397</v>
      </c>
      <c r="C60">
        <v>0.25</v>
      </c>
      <c r="D60">
        <v>8.1000000000000003E-2</v>
      </c>
      <c r="E60">
        <v>1</v>
      </c>
      <c r="F60" t="s">
        <v>1587</v>
      </c>
      <c r="G60" t="s">
        <v>1588</v>
      </c>
      <c r="H60" t="s">
        <v>1587</v>
      </c>
      <c r="I60" t="str">
        <f>HYPERLINK("https://zfin.org/ZDB-GENE-990415-257")</f>
        <v>https://zfin.org/ZDB-GENE-990415-257</v>
      </c>
      <c r="J60" t="s">
        <v>1586</v>
      </c>
    </row>
    <row r="61" spans="1:10" x14ac:dyDescent="0.2">
      <c r="A61">
        <v>2.2642339268467001E-3</v>
      </c>
      <c r="B61">
        <v>0.50354262163869701</v>
      </c>
      <c r="C61">
        <v>0.25</v>
      </c>
      <c r="D61">
        <v>8.1000000000000003E-2</v>
      </c>
      <c r="E61">
        <v>1</v>
      </c>
      <c r="F61" t="s">
        <v>1584</v>
      </c>
      <c r="G61" t="s">
        <v>1585</v>
      </c>
      <c r="H61" t="s">
        <v>1584</v>
      </c>
      <c r="I61" t="str">
        <f>HYPERLINK("https://zfin.org/ZDB-GENE-030131-1486")</f>
        <v>https://zfin.org/ZDB-GENE-030131-1486</v>
      </c>
      <c r="J61" t="s">
        <v>1583</v>
      </c>
    </row>
    <row r="62" spans="1:10" x14ac:dyDescent="0.2">
      <c r="A62">
        <v>2.3113635311282901E-3</v>
      </c>
      <c r="B62">
        <v>0.41192355510583201</v>
      </c>
      <c r="C62">
        <v>0.17699999999999999</v>
      </c>
      <c r="D62">
        <v>3.5000000000000003E-2</v>
      </c>
      <c r="E62">
        <v>1</v>
      </c>
      <c r="F62" t="s">
        <v>1581</v>
      </c>
      <c r="G62" t="s">
        <v>1582</v>
      </c>
      <c r="H62" t="s">
        <v>1581</v>
      </c>
      <c r="I62" t="str">
        <f>HYPERLINK("https://zfin.org/ZDB-GENE-040426-732")</f>
        <v>https://zfin.org/ZDB-GENE-040426-732</v>
      </c>
      <c r="J62" t="s">
        <v>1580</v>
      </c>
    </row>
    <row r="63" spans="1:10" x14ac:dyDescent="0.2">
      <c r="A63">
        <v>2.4925036143523299E-3</v>
      </c>
      <c r="B63">
        <v>0.338592890439609</v>
      </c>
      <c r="C63">
        <v>0.22900000000000001</v>
      </c>
      <c r="D63">
        <v>5.8000000000000003E-2</v>
      </c>
      <c r="E63">
        <v>1</v>
      </c>
      <c r="F63" t="s">
        <v>1578</v>
      </c>
      <c r="G63" t="s">
        <v>1579</v>
      </c>
      <c r="H63" t="s">
        <v>1578</v>
      </c>
      <c r="I63" t="str">
        <f>HYPERLINK("https://zfin.org/ZDB-GENE-040718-379")</f>
        <v>https://zfin.org/ZDB-GENE-040718-379</v>
      </c>
      <c r="J63" t="s">
        <v>1577</v>
      </c>
    </row>
    <row r="64" spans="1:10" x14ac:dyDescent="0.2">
      <c r="A64">
        <v>2.49422236217413E-3</v>
      </c>
      <c r="B64">
        <v>0.45685074865548098</v>
      </c>
      <c r="C64">
        <v>0.80200000000000005</v>
      </c>
      <c r="D64">
        <v>0.65100000000000002</v>
      </c>
      <c r="E64">
        <v>1</v>
      </c>
      <c r="F64" t="s">
        <v>153</v>
      </c>
      <c r="G64" t="s">
        <v>154</v>
      </c>
      <c r="H64" t="s">
        <v>153</v>
      </c>
      <c r="I64" t="str">
        <f>HYPERLINK("https://zfin.org/ZDB-GENE-990715-6")</f>
        <v>https://zfin.org/ZDB-GENE-990715-6</v>
      </c>
      <c r="J64" t="s">
        <v>155</v>
      </c>
    </row>
    <row r="65" spans="1:10" x14ac:dyDescent="0.2">
      <c r="A65">
        <v>2.49477359947125E-3</v>
      </c>
      <c r="B65">
        <v>0.54247187283989995</v>
      </c>
      <c r="C65">
        <v>0.39600000000000002</v>
      </c>
      <c r="D65">
        <v>0.186</v>
      </c>
      <c r="E65">
        <v>1</v>
      </c>
      <c r="F65" t="s">
        <v>1575</v>
      </c>
      <c r="G65" t="s">
        <v>1576</v>
      </c>
      <c r="H65" t="s">
        <v>1575</v>
      </c>
      <c r="I65" t="str">
        <f>HYPERLINK("https://zfin.org/ZDB-GENE-030131-9181")</f>
        <v>https://zfin.org/ZDB-GENE-030131-9181</v>
      </c>
      <c r="J65" t="s">
        <v>1574</v>
      </c>
    </row>
    <row r="66" spans="1:10" x14ac:dyDescent="0.2">
      <c r="A66">
        <v>2.6469340103015999E-3</v>
      </c>
      <c r="B66">
        <v>0.31656436608838201</v>
      </c>
      <c r="C66">
        <v>0.22900000000000001</v>
      </c>
      <c r="D66">
        <v>5.8000000000000003E-2</v>
      </c>
      <c r="E66">
        <v>1</v>
      </c>
      <c r="F66" t="s">
        <v>1572</v>
      </c>
      <c r="G66" t="s">
        <v>1573</v>
      </c>
      <c r="H66" t="s">
        <v>1572</v>
      </c>
      <c r="I66" t="str">
        <f>HYPERLINK("https://zfin.org/ZDB-GENE-041010-210")</f>
        <v>https://zfin.org/ZDB-GENE-041010-210</v>
      </c>
      <c r="J66" t="s">
        <v>1571</v>
      </c>
    </row>
    <row r="67" spans="1:10" x14ac:dyDescent="0.2">
      <c r="A67">
        <v>2.7174294186284799E-3</v>
      </c>
      <c r="B67">
        <v>0.49143736270041399</v>
      </c>
      <c r="C67">
        <v>0.42699999999999999</v>
      </c>
      <c r="D67">
        <v>0.20899999999999999</v>
      </c>
      <c r="E67">
        <v>1</v>
      </c>
      <c r="F67" t="s">
        <v>631</v>
      </c>
      <c r="G67" t="s">
        <v>632</v>
      </c>
      <c r="H67" t="s">
        <v>631</v>
      </c>
      <c r="I67" t="str">
        <f>HYPERLINK("https://zfin.org/ZDB-GENE-030131-5606")</f>
        <v>https://zfin.org/ZDB-GENE-030131-5606</v>
      </c>
      <c r="J67" t="s">
        <v>630</v>
      </c>
    </row>
    <row r="68" spans="1:10" x14ac:dyDescent="0.2">
      <c r="A68">
        <v>2.7720418932252202E-3</v>
      </c>
      <c r="B68">
        <v>0.40170184583655399</v>
      </c>
      <c r="C68">
        <v>0.219</v>
      </c>
      <c r="D68">
        <v>5.8000000000000003E-2</v>
      </c>
      <c r="E68">
        <v>1</v>
      </c>
      <c r="F68" t="s">
        <v>1569</v>
      </c>
      <c r="G68" t="s">
        <v>1570</v>
      </c>
      <c r="H68" t="s">
        <v>1569</v>
      </c>
      <c r="I68" t="str">
        <f>HYPERLINK("https://zfin.org/ZDB-GENE-040625-82")</f>
        <v>https://zfin.org/ZDB-GENE-040625-82</v>
      </c>
      <c r="J68" t="s">
        <v>1568</v>
      </c>
    </row>
    <row r="69" spans="1:10" x14ac:dyDescent="0.2">
      <c r="A69">
        <v>2.8666262740793102E-3</v>
      </c>
      <c r="B69">
        <v>0.46701178091782097</v>
      </c>
      <c r="C69">
        <v>0.51</v>
      </c>
      <c r="D69">
        <v>0.27900000000000003</v>
      </c>
      <c r="E69">
        <v>1</v>
      </c>
      <c r="F69" t="s">
        <v>1566</v>
      </c>
      <c r="G69" t="s">
        <v>1567</v>
      </c>
      <c r="H69" t="s">
        <v>1566</v>
      </c>
      <c r="I69" t="str">
        <f>HYPERLINK("https://zfin.org/ZDB-GENE-010412-1")</f>
        <v>https://zfin.org/ZDB-GENE-010412-1</v>
      </c>
      <c r="J69" t="s">
        <v>1565</v>
      </c>
    </row>
    <row r="70" spans="1:10" x14ac:dyDescent="0.2">
      <c r="A70">
        <v>2.9087630453470798E-3</v>
      </c>
      <c r="B70">
        <v>0.37621338925100301</v>
      </c>
      <c r="C70">
        <v>0.34399999999999997</v>
      </c>
      <c r="D70">
        <v>0.14000000000000001</v>
      </c>
      <c r="E70">
        <v>1</v>
      </c>
      <c r="F70" t="s">
        <v>1563</v>
      </c>
      <c r="G70" t="s">
        <v>1564</v>
      </c>
      <c r="H70" t="s">
        <v>1563</v>
      </c>
      <c r="I70" t="str">
        <f>HYPERLINK("https://zfin.org/ZDB-GENE-030131-5129")</f>
        <v>https://zfin.org/ZDB-GENE-030131-5129</v>
      </c>
      <c r="J70" t="s">
        <v>1562</v>
      </c>
    </row>
    <row r="71" spans="1:10" x14ac:dyDescent="0.2">
      <c r="A71">
        <v>3.0097261098196298E-3</v>
      </c>
      <c r="B71">
        <v>0.61988816681973202</v>
      </c>
      <c r="C71">
        <v>0.40600000000000003</v>
      </c>
      <c r="D71">
        <v>0.19800000000000001</v>
      </c>
      <c r="E71">
        <v>1</v>
      </c>
      <c r="F71" t="s">
        <v>1560</v>
      </c>
      <c r="G71" t="s">
        <v>1561</v>
      </c>
      <c r="H71" t="s">
        <v>1560</v>
      </c>
      <c r="I71" t="str">
        <f>HYPERLINK("https://zfin.org/ZDB-GENE-030131-5783")</f>
        <v>https://zfin.org/ZDB-GENE-030131-5783</v>
      </c>
      <c r="J71" t="s">
        <v>1559</v>
      </c>
    </row>
    <row r="72" spans="1:10" x14ac:dyDescent="0.2">
      <c r="A72">
        <v>3.16838730917202E-3</v>
      </c>
      <c r="B72">
        <v>0.378138161863731</v>
      </c>
      <c r="C72">
        <v>0.125</v>
      </c>
      <c r="D72">
        <v>1.2E-2</v>
      </c>
      <c r="E72">
        <v>1</v>
      </c>
      <c r="F72" t="s">
        <v>1557</v>
      </c>
      <c r="G72" t="s">
        <v>1558</v>
      </c>
      <c r="H72" t="s">
        <v>1557</v>
      </c>
      <c r="I72" t="str">
        <f>HYPERLINK("https://zfin.org/ZDB-GENE-990706-3")</f>
        <v>https://zfin.org/ZDB-GENE-990706-3</v>
      </c>
      <c r="J72" t="s">
        <v>1556</v>
      </c>
    </row>
    <row r="73" spans="1:10" x14ac:dyDescent="0.2">
      <c r="A73">
        <v>3.2628269633243499E-3</v>
      </c>
      <c r="B73">
        <v>0.44814986824675701</v>
      </c>
      <c r="C73">
        <v>0.312</v>
      </c>
      <c r="D73">
        <v>0.14000000000000001</v>
      </c>
      <c r="E73">
        <v>1</v>
      </c>
      <c r="F73" t="s">
        <v>1554</v>
      </c>
      <c r="G73" t="s">
        <v>1555</v>
      </c>
      <c r="H73" t="s">
        <v>1554</v>
      </c>
      <c r="I73" t="str">
        <f>HYPERLINK("https://zfin.org/ZDB-GENE-030131-400")</f>
        <v>https://zfin.org/ZDB-GENE-030131-400</v>
      </c>
      <c r="J73" t="s">
        <v>1553</v>
      </c>
    </row>
    <row r="74" spans="1:10" x14ac:dyDescent="0.2">
      <c r="A74">
        <v>3.2819937505870998E-3</v>
      </c>
      <c r="B74">
        <v>0.26955803712309501</v>
      </c>
      <c r="C74">
        <v>0.91700000000000004</v>
      </c>
      <c r="D74">
        <v>0.77900000000000003</v>
      </c>
      <c r="E74">
        <v>1</v>
      </c>
      <c r="F74" t="s">
        <v>91</v>
      </c>
      <c r="G74" t="s">
        <v>92</v>
      </c>
      <c r="H74" t="s">
        <v>91</v>
      </c>
      <c r="I74" t="str">
        <f>HYPERLINK("https://zfin.org/ZDB-GENE-120215-258")</f>
        <v>https://zfin.org/ZDB-GENE-120215-258</v>
      </c>
      <c r="J74" t="s">
        <v>93</v>
      </c>
    </row>
    <row r="75" spans="1:10" x14ac:dyDescent="0.2">
      <c r="A75">
        <v>3.30219831961702E-3</v>
      </c>
      <c r="B75">
        <v>0.40763189525870203</v>
      </c>
      <c r="C75">
        <v>0.59399999999999997</v>
      </c>
      <c r="D75">
        <v>0.33700000000000002</v>
      </c>
      <c r="E75">
        <v>1</v>
      </c>
      <c r="F75" t="s">
        <v>1551</v>
      </c>
      <c r="G75" t="s">
        <v>1552</v>
      </c>
      <c r="H75" t="s">
        <v>1551</v>
      </c>
      <c r="I75" t="str">
        <f>HYPERLINK("https://zfin.org/ZDB-GENE-030131-1957")</f>
        <v>https://zfin.org/ZDB-GENE-030131-1957</v>
      </c>
      <c r="J75" t="s">
        <v>1550</v>
      </c>
    </row>
    <row r="76" spans="1:10" x14ac:dyDescent="0.2">
      <c r="A76">
        <v>3.4071880169800599E-3</v>
      </c>
      <c r="B76">
        <v>0.47177398729951803</v>
      </c>
      <c r="C76">
        <v>0.25</v>
      </c>
      <c r="D76">
        <v>8.1000000000000003E-2</v>
      </c>
      <c r="E76">
        <v>1</v>
      </c>
      <c r="F76" t="s">
        <v>1548</v>
      </c>
      <c r="G76" t="s">
        <v>1549</v>
      </c>
      <c r="H76" t="s">
        <v>1548</v>
      </c>
      <c r="I76" t="str">
        <f>HYPERLINK("https://zfin.org/ZDB-GENE-990415-152")</f>
        <v>https://zfin.org/ZDB-GENE-990415-152</v>
      </c>
      <c r="J76" t="s">
        <v>1547</v>
      </c>
    </row>
    <row r="77" spans="1:10" x14ac:dyDescent="0.2">
      <c r="A77">
        <v>3.43724108190579E-3</v>
      </c>
      <c r="B77">
        <v>0.49357821202216401</v>
      </c>
      <c r="C77">
        <v>0.125</v>
      </c>
      <c r="D77">
        <v>1.2E-2</v>
      </c>
      <c r="E77">
        <v>1</v>
      </c>
      <c r="F77" t="s">
        <v>1545</v>
      </c>
      <c r="G77" t="s">
        <v>1546</v>
      </c>
      <c r="H77" t="s">
        <v>1545</v>
      </c>
      <c r="I77" t="str">
        <f>HYPERLINK("https://zfin.org/")</f>
        <v>https://zfin.org/</v>
      </c>
      <c r="J77" t="s">
        <v>1544</v>
      </c>
    </row>
    <row r="78" spans="1:10" x14ac:dyDescent="0.2">
      <c r="A78">
        <v>3.43724108190579E-3</v>
      </c>
      <c r="B78">
        <v>0.35564011849358301</v>
      </c>
      <c r="C78">
        <v>0.125</v>
      </c>
      <c r="D78">
        <v>1.2E-2</v>
      </c>
      <c r="E78">
        <v>1</v>
      </c>
      <c r="F78" t="s">
        <v>1542</v>
      </c>
      <c r="G78" t="s">
        <v>1543</v>
      </c>
      <c r="H78" t="s">
        <v>1542</v>
      </c>
      <c r="I78" t="str">
        <f>HYPERLINK("https://zfin.org/ZDB-GENE-050417-304")</f>
        <v>https://zfin.org/ZDB-GENE-050417-304</v>
      </c>
      <c r="J78" t="s">
        <v>1541</v>
      </c>
    </row>
    <row r="79" spans="1:10" x14ac:dyDescent="0.2">
      <c r="A79">
        <v>3.5162133078461299E-3</v>
      </c>
      <c r="B79">
        <v>0.46989795500946602</v>
      </c>
      <c r="C79">
        <v>0.58299999999999996</v>
      </c>
      <c r="D79">
        <v>0.33700000000000002</v>
      </c>
      <c r="E79">
        <v>1</v>
      </c>
      <c r="F79" t="s">
        <v>1539</v>
      </c>
      <c r="G79" t="s">
        <v>1540</v>
      </c>
      <c r="H79" t="s">
        <v>1539</v>
      </c>
      <c r="I79" t="str">
        <f>HYPERLINK("https://zfin.org/ZDB-GENE-040912-46")</f>
        <v>https://zfin.org/ZDB-GENE-040912-46</v>
      </c>
      <c r="J79" t="s">
        <v>1538</v>
      </c>
    </row>
    <row r="80" spans="1:10" x14ac:dyDescent="0.2">
      <c r="A80">
        <v>3.5254251686785299E-3</v>
      </c>
      <c r="B80">
        <v>0.36408085336861601</v>
      </c>
      <c r="C80">
        <v>0.14599999999999999</v>
      </c>
      <c r="D80">
        <v>2.3E-2</v>
      </c>
      <c r="E80">
        <v>1</v>
      </c>
      <c r="F80" t="s">
        <v>1536</v>
      </c>
      <c r="G80" t="s">
        <v>1537</v>
      </c>
      <c r="H80" t="s">
        <v>1536</v>
      </c>
      <c r="I80" t="str">
        <f>HYPERLINK("https://zfin.org/ZDB-GENE-060302-3")</f>
        <v>https://zfin.org/ZDB-GENE-060302-3</v>
      </c>
      <c r="J80" t="s">
        <v>1535</v>
      </c>
    </row>
    <row r="81" spans="1:10" x14ac:dyDescent="0.2">
      <c r="A81">
        <v>3.7620575598776799E-3</v>
      </c>
      <c r="B81">
        <v>0.479872143554471</v>
      </c>
      <c r="C81">
        <v>0.49</v>
      </c>
      <c r="D81">
        <v>0.27900000000000003</v>
      </c>
      <c r="E81">
        <v>1</v>
      </c>
      <c r="F81" t="s">
        <v>1533</v>
      </c>
      <c r="G81" t="s">
        <v>1534</v>
      </c>
      <c r="H81" t="s">
        <v>1533</v>
      </c>
      <c r="I81" t="str">
        <f>HYPERLINK("https://zfin.org/ZDB-GENE-020731-5")</f>
        <v>https://zfin.org/ZDB-GENE-020731-5</v>
      </c>
      <c r="J81" t="s">
        <v>1532</v>
      </c>
    </row>
    <row r="82" spans="1:10" x14ac:dyDescent="0.2">
      <c r="A82">
        <v>3.77969594554191E-3</v>
      </c>
      <c r="B82">
        <v>0.391184395798163</v>
      </c>
      <c r="C82">
        <v>0.56200000000000006</v>
      </c>
      <c r="D82">
        <v>0.32600000000000001</v>
      </c>
      <c r="E82">
        <v>1</v>
      </c>
      <c r="F82" t="s">
        <v>1530</v>
      </c>
      <c r="G82" t="s">
        <v>1531</v>
      </c>
      <c r="H82" t="s">
        <v>1530</v>
      </c>
      <c r="I82" t="str">
        <f>HYPERLINK("https://zfin.org/ZDB-GENE-061215-48")</f>
        <v>https://zfin.org/ZDB-GENE-061215-48</v>
      </c>
      <c r="J82" t="s">
        <v>1529</v>
      </c>
    </row>
    <row r="83" spans="1:10" x14ac:dyDescent="0.2">
      <c r="A83">
        <v>4.0635305914106202E-3</v>
      </c>
      <c r="B83">
        <v>0.38897136205032201</v>
      </c>
      <c r="C83">
        <v>0.90600000000000003</v>
      </c>
      <c r="D83">
        <v>0.89500000000000002</v>
      </c>
      <c r="E83">
        <v>1</v>
      </c>
      <c r="F83" t="s">
        <v>82</v>
      </c>
      <c r="G83" t="s">
        <v>83</v>
      </c>
      <c r="H83" t="s">
        <v>84</v>
      </c>
      <c r="I83" t="str">
        <f>HYPERLINK("https://zfin.org/")</f>
        <v>https://zfin.org/</v>
      </c>
    </row>
    <row r="84" spans="1:10" x14ac:dyDescent="0.2">
      <c r="A84">
        <v>4.0923940693732104E-3</v>
      </c>
      <c r="B84">
        <v>0.34861464440887902</v>
      </c>
      <c r="C84">
        <v>0.72899999999999998</v>
      </c>
      <c r="D84">
        <v>0.47699999999999998</v>
      </c>
      <c r="E84">
        <v>1</v>
      </c>
      <c r="F84" t="s">
        <v>1196</v>
      </c>
      <c r="G84" t="s">
        <v>1197</v>
      </c>
      <c r="H84" t="s">
        <v>1196</v>
      </c>
      <c r="I84" t="str">
        <f>HYPERLINK("https://zfin.org/ZDB-GENE-061103-283")</f>
        <v>https://zfin.org/ZDB-GENE-061103-283</v>
      </c>
      <c r="J84" t="s">
        <v>1195</v>
      </c>
    </row>
    <row r="85" spans="1:10" x14ac:dyDescent="0.2">
      <c r="A85">
        <v>4.1591922746036201E-3</v>
      </c>
      <c r="B85">
        <v>0.414489746403229</v>
      </c>
      <c r="C85">
        <v>0.20799999999999999</v>
      </c>
      <c r="D85">
        <v>5.8000000000000003E-2</v>
      </c>
      <c r="E85">
        <v>1</v>
      </c>
      <c r="F85" t="s">
        <v>1527</v>
      </c>
      <c r="G85" t="s">
        <v>1528</v>
      </c>
      <c r="H85" t="s">
        <v>1527</v>
      </c>
      <c r="I85" t="str">
        <f>HYPERLINK("https://zfin.org/ZDB-GENE-030826-29")</f>
        <v>https://zfin.org/ZDB-GENE-030826-29</v>
      </c>
      <c r="J85" t="s">
        <v>1526</v>
      </c>
    </row>
    <row r="86" spans="1:10" x14ac:dyDescent="0.2">
      <c r="A86">
        <v>4.1702252894795303E-3</v>
      </c>
      <c r="B86">
        <v>0.405591900782101</v>
      </c>
      <c r="C86">
        <v>0.30199999999999999</v>
      </c>
      <c r="D86">
        <v>0.11600000000000001</v>
      </c>
      <c r="E86">
        <v>1</v>
      </c>
      <c r="F86" t="s">
        <v>1524</v>
      </c>
      <c r="G86" t="s">
        <v>1525</v>
      </c>
      <c r="H86" t="s">
        <v>1524</v>
      </c>
      <c r="I86" t="str">
        <f>HYPERLINK("https://zfin.org/ZDB-GENE-030131-3562")</f>
        <v>https://zfin.org/ZDB-GENE-030131-3562</v>
      </c>
      <c r="J86" t="s">
        <v>1523</v>
      </c>
    </row>
    <row r="87" spans="1:10" x14ac:dyDescent="0.2">
      <c r="A87">
        <v>4.19381358600976E-3</v>
      </c>
      <c r="B87">
        <v>0.52204452536205903</v>
      </c>
      <c r="C87">
        <v>0.26</v>
      </c>
      <c r="D87">
        <v>9.2999999999999999E-2</v>
      </c>
      <c r="E87">
        <v>1</v>
      </c>
      <c r="F87" t="s">
        <v>1253</v>
      </c>
      <c r="G87" t="s">
        <v>1254</v>
      </c>
      <c r="H87" t="s">
        <v>1253</v>
      </c>
      <c r="I87" t="str">
        <f>HYPERLINK("https://zfin.org/ZDB-GENE-040310-5")</f>
        <v>https://zfin.org/ZDB-GENE-040310-5</v>
      </c>
      <c r="J87" t="s">
        <v>1252</v>
      </c>
    </row>
    <row r="88" spans="1:10" x14ac:dyDescent="0.2">
      <c r="A88">
        <v>4.2311818671435996E-3</v>
      </c>
      <c r="B88">
        <v>0.30559876046255302</v>
      </c>
      <c r="C88">
        <v>0.14599999999999999</v>
      </c>
      <c r="D88">
        <v>2.3E-2</v>
      </c>
      <c r="E88">
        <v>1</v>
      </c>
      <c r="F88" t="s">
        <v>1521</v>
      </c>
      <c r="G88" t="s">
        <v>1522</v>
      </c>
      <c r="H88" t="s">
        <v>1521</v>
      </c>
      <c r="I88" t="str">
        <f>HYPERLINK("https://zfin.org/ZDB-GENE-040426-2935")</f>
        <v>https://zfin.org/ZDB-GENE-040426-2935</v>
      </c>
      <c r="J88" t="s">
        <v>1520</v>
      </c>
    </row>
    <row r="89" spans="1:10" x14ac:dyDescent="0.2">
      <c r="A89">
        <v>4.4491530368903701E-3</v>
      </c>
      <c r="B89">
        <v>0.36302946730263302</v>
      </c>
      <c r="C89">
        <v>0.28100000000000003</v>
      </c>
      <c r="D89">
        <v>0.105</v>
      </c>
      <c r="E89">
        <v>1</v>
      </c>
      <c r="F89" t="s">
        <v>1518</v>
      </c>
      <c r="G89" t="s">
        <v>1519</v>
      </c>
      <c r="H89" t="s">
        <v>1518</v>
      </c>
      <c r="I89" t="str">
        <f>HYPERLINK("https://zfin.org/ZDB-GENE-030311-1")</f>
        <v>https://zfin.org/ZDB-GENE-030311-1</v>
      </c>
      <c r="J89" t="s">
        <v>1517</v>
      </c>
    </row>
    <row r="90" spans="1:10" x14ac:dyDescent="0.2">
      <c r="A90">
        <v>4.4942219301056597E-3</v>
      </c>
      <c r="B90">
        <v>0.27341845224191003</v>
      </c>
      <c r="C90">
        <v>0.84399999999999997</v>
      </c>
      <c r="D90">
        <v>0.66300000000000003</v>
      </c>
      <c r="E90">
        <v>1</v>
      </c>
      <c r="F90" t="s">
        <v>1515</v>
      </c>
      <c r="G90" t="s">
        <v>1516</v>
      </c>
      <c r="H90" t="s">
        <v>1515</v>
      </c>
      <c r="I90" t="str">
        <f>HYPERLINK("https://zfin.org/ZDB-GENE-061013-323")</f>
        <v>https://zfin.org/ZDB-GENE-061013-323</v>
      </c>
      <c r="J90" t="s">
        <v>1514</v>
      </c>
    </row>
    <row r="91" spans="1:10" x14ac:dyDescent="0.2">
      <c r="A91">
        <v>4.7070775626995003E-3</v>
      </c>
      <c r="B91">
        <v>0.456757879934512</v>
      </c>
      <c r="C91">
        <v>0.24</v>
      </c>
      <c r="D91">
        <v>8.1000000000000003E-2</v>
      </c>
      <c r="E91">
        <v>1</v>
      </c>
      <c r="F91" t="s">
        <v>1512</v>
      </c>
      <c r="G91" t="s">
        <v>1513</v>
      </c>
      <c r="H91" t="s">
        <v>1512</v>
      </c>
      <c r="I91" t="str">
        <f>HYPERLINK("https://zfin.org/ZDB-GENE-001020-1")</f>
        <v>https://zfin.org/ZDB-GENE-001020-1</v>
      </c>
      <c r="J91" t="s">
        <v>1511</v>
      </c>
    </row>
    <row r="92" spans="1:10" x14ac:dyDescent="0.2">
      <c r="A92">
        <v>4.9246506594025404E-3</v>
      </c>
      <c r="B92">
        <v>0.29066458158415498</v>
      </c>
      <c r="C92">
        <v>0.16700000000000001</v>
      </c>
      <c r="D92">
        <v>3.5000000000000003E-2</v>
      </c>
      <c r="E92">
        <v>1</v>
      </c>
      <c r="F92" t="s">
        <v>1509</v>
      </c>
      <c r="G92" t="s">
        <v>1510</v>
      </c>
      <c r="H92" t="s">
        <v>1509</v>
      </c>
      <c r="I92" t="str">
        <f>HYPERLINK("https://zfin.org/ZDB-GENE-030131-1923")</f>
        <v>https://zfin.org/ZDB-GENE-030131-1923</v>
      </c>
      <c r="J92" t="s">
        <v>1508</v>
      </c>
    </row>
    <row r="93" spans="1:10" x14ac:dyDescent="0.2">
      <c r="A93">
        <v>5.0197380449938604E-3</v>
      </c>
      <c r="B93">
        <v>0.37878428603640502</v>
      </c>
      <c r="C93">
        <v>0.34399999999999997</v>
      </c>
      <c r="D93">
        <v>0.151</v>
      </c>
      <c r="E93">
        <v>1</v>
      </c>
      <c r="F93" t="s">
        <v>1506</v>
      </c>
      <c r="G93" t="s">
        <v>1507</v>
      </c>
      <c r="H93" t="s">
        <v>1506</v>
      </c>
      <c r="I93" t="str">
        <f>HYPERLINK("https://zfin.org/ZDB-GENE-080708-1")</f>
        <v>https://zfin.org/ZDB-GENE-080708-1</v>
      </c>
      <c r="J93" t="s">
        <v>1505</v>
      </c>
    </row>
    <row r="94" spans="1:10" x14ac:dyDescent="0.2">
      <c r="A94">
        <v>5.0472062311635799E-3</v>
      </c>
      <c r="B94">
        <v>0.37676550863762198</v>
      </c>
      <c r="C94">
        <v>0.115</v>
      </c>
      <c r="D94">
        <v>1.2E-2</v>
      </c>
      <c r="E94">
        <v>1</v>
      </c>
      <c r="F94" t="s">
        <v>1503</v>
      </c>
      <c r="G94" t="s">
        <v>1504</v>
      </c>
      <c r="H94" t="s">
        <v>1503</v>
      </c>
      <c r="I94" t="str">
        <f>HYPERLINK("https://zfin.org/ZDB-GENE-091015-2")</f>
        <v>https://zfin.org/ZDB-GENE-091015-2</v>
      </c>
      <c r="J94" t="s">
        <v>1502</v>
      </c>
    </row>
    <row r="95" spans="1:10" x14ac:dyDescent="0.2">
      <c r="A95">
        <v>5.0769957197727804E-3</v>
      </c>
      <c r="B95">
        <v>0.30390214388595099</v>
      </c>
      <c r="C95">
        <v>0.41699999999999998</v>
      </c>
      <c r="D95">
        <v>0.19800000000000001</v>
      </c>
      <c r="E95">
        <v>1</v>
      </c>
      <c r="F95" t="s">
        <v>1500</v>
      </c>
      <c r="G95" t="s">
        <v>1501</v>
      </c>
      <c r="H95" t="s">
        <v>1500</v>
      </c>
      <c r="I95" t="str">
        <f>HYPERLINK("https://zfin.org/ZDB-GENE-030131-1452")</f>
        <v>https://zfin.org/ZDB-GENE-030131-1452</v>
      </c>
      <c r="J95" t="s">
        <v>1499</v>
      </c>
    </row>
    <row r="96" spans="1:10" x14ac:dyDescent="0.2">
      <c r="A96">
        <v>5.1756602758491702E-3</v>
      </c>
      <c r="B96">
        <v>0.34537620505105898</v>
      </c>
      <c r="C96">
        <v>0.24</v>
      </c>
      <c r="D96">
        <v>8.1000000000000003E-2</v>
      </c>
      <c r="E96">
        <v>1</v>
      </c>
      <c r="F96" t="s">
        <v>1497</v>
      </c>
      <c r="G96" t="s">
        <v>1498</v>
      </c>
      <c r="H96" t="s">
        <v>1497</v>
      </c>
      <c r="I96" t="str">
        <f>HYPERLINK("https://zfin.org/ZDB-GENE-040426-1448")</f>
        <v>https://zfin.org/ZDB-GENE-040426-1448</v>
      </c>
      <c r="J96" t="s">
        <v>1496</v>
      </c>
    </row>
    <row r="97" spans="1:10" x14ac:dyDescent="0.2">
      <c r="A97">
        <v>5.1999532515931398E-3</v>
      </c>
      <c r="B97">
        <v>0.45831008313669402</v>
      </c>
      <c r="C97">
        <v>0.96899999999999997</v>
      </c>
      <c r="D97">
        <v>0.95299999999999996</v>
      </c>
      <c r="E97">
        <v>1</v>
      </c>
      <c r="F97" t="s">
        <v>124</v>
      </c>
      <c r="G97" t="s">
        <v>125</v>
      </c>
      <c r="H97" t="s">
        <v>124</v>
      </c>
      <c r="I97" t="str">
        <f>HYPERLINK("https://zfin.org/ZDB-GENE-040426-2315")</f>
        <v>https://zfin.org/ZDB-GENE-040426-2315</v>
      </c>
      <c r="J97" t="s">
        <v>126</v>
      </c>
    </row>
    <row r="98" spans="1:10" x14ac:dyDescent="0.2">
      <c r="A98">
        <v>5.2163617546604098E-3</v>
      </c>
      <c r="B98">
        <v>0.36162898492352402</v>
      </c>
      <c r="C98">
        <v>0.375</v>
      </c>
      <c r="D98">
        <v>0.16300000000000001</v>
      </c>
      <c r="E98">
        <v>1</v>
      </c>
      <c r="F98" t="s">
        <v>1494</v>
      </c>
      <c r="G98" t="s">
        <v>1495</v>
      </c>
      <c r="H98" t="s">
        <v>1494</v>
      </c>
      <c r="I98" t="str">
        <f>HYPERLINK("https://zfin.org/ZDB-GENE-050417-389")</f>
        <v>https://zfin.org/ZDB-GENE-050417-389</v>
      </c>
      <c r="J98" t="s">
        <v>1493</v>
      </c>
    </row>
    <row r="99" spans="1:10" x14ac:dyDescent="0.2">
      <c r="A99">
        <v>5.2608182839136699E-3</v>
      </c>
      <c r="B99">
        <v>0.32344741058099002</v>
      </c>
      <c r="C99">
        <v>0.312</v>
      </c>
      <c r="D99">
        <v>0.11600000000000001</v>
      </c>
      <c r="E99">
        <v>1</v>
      </c>
      <c r="F99" t="s">
        <v>1491</v>
      </c>
      <c r="G99" t="s">
        <v>1492</v>
      </c>
      <c r="H99" t="s">
        <v>1491</v>
      </c>
      <c r="I99" t="str">
        <f>HYPERLINK("https://zfin.org/ZDB-GENE-050417-430")</f>
        <v>https://zfin.org/ZDB-GENE-050417-430</v>
      </c>
      <c r="J99" t="s">
        <v>1490</v>
      </c>
    </row>
    <row r="100" spans="1:10" x14ac:dyDescent="0.2">
      <c r="A100">
        <v>5.2630905755302396E-3</v>
      </c>
      <c r="B100">
        <v>0.31713240131061898</v>
      </c>
      <c r="C100">
        <v>0.20799999999999999</v>
      </c>
      <c r="D100">
        <v>5.8000000000000003E-2</v>
      </c>
      <c r="E100">
        <v>1</v>
      </c>
      <c r="F100" t="s">
        <v>1488</v>
      </c>
      <c r="G100" t="s">
        <v>1489</v>
      </c>
      <c r="H100" t="s">
        <v>1488</v>
      </c>
      <c r="I100" t="str">
        <f>HYPERLINK("https://zfin.org/ZDB-GENE-030131-9077")</f>
        <v>https://zfin.org/ZDB-GENE-030131-9077</v>
      </c>
      <c r="J100" t="s">
        <v>1487</v>
      </c>
    </row>
    <row r="101" spans="1:10" x14ac:dyDescent="0.2">
      <c r="A101">
        <v>5.2991888945751499E-3</v>
      </c>
      <c r="B101">
        <v>0.57668777629422197</v>
      </c>
      <c r="C101">
        <v>0.27100000000000002</v>
      </c>
      <c r="D101">
        <v>0.105</v>
      </c>
      <c r="E101">
        <v>1</v>
      </c>
      <c r="F101" t="s">
        <v>1316</v>
      </c>
      <c r="G101" t="s">
        <v>1317</v>
      </c>
      <c r="H101" t="s">
        <v>1316</v>
      </c>
      <c r="I101" t="str">
        <f>HYPERLINK("https://zfin.org/ZDB-GENE-090915-6")</f>
        <v>https://zfin.org/ZDB-GENE-090915-6</v>
      </c>
      <c r="J101" t="s">
        <v>1315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3795E-D012-7A4C-9FB5-98CD5FF1575E}">
  <dimension ref="A1:J101"/>
  <sheetViews>
    <sheetView workbookViewId="0"/>
  </sheetViews>
  <sheetFormatPr baseColWidth="10" defaultColWidth="8.83203125" defaultRowHeight="15" x14ac:dyDescent="0.2"/>
  <cols>
    <col min="1" max="1" width="6.33203125" customWidth="1"/>
    <col min="2" max="2" width="10.5" customWidth="1"/>
    <col min="3" max="4" width="6.33203125" customWidth="1"/>
    <col min="5" max="5" width="10.5" customWidth="1"/>
    <col min="6" max="7" width="20.5" customWidth="1"/>
    <col min="8" max="8" width="22.6640625" customWidth="1"/>
    <col min="9" max="9" width="8.5" customWidth="1"/>
    <col min="10" max="10" width="137.16406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">
      <c r="A2">
        <v>9.0763062881790803E-6</v>
      </c>
      <c r="B2">
        <v>-0.54687939283462506</v>
      </c>
      <c r="C2">
        <v>0.71899999999999997</v>
      </c>
      <c r="D2">
        <v>0.86</v>
      </c>
      <c r="E2">
        <v>0.14052845025987701</v>
      </c>
      <c r="F2" t="s">
        <v>198</v>
      </c>
      <c r="G2" t="s">
        <v>199</v>
      </c>
      <c r="H2" t="s">
        <v>198</v>
      </c>
      <c r="I2" t="str">
        <f>HYPERLINK("https://zfin.org/ZDB-GENE-990712-18")</f>
        <v>https://zfin.org/ZDB-GENE-990712-18</v>
      </c>
      <c r="J2" t="s">
        <v>200</v>
      </c>
    </row>
    <row r="3" spans="1:10" x14ac:dyDescent="0.2">
      <c r="A3">
        <v>1.96246764922602E-3</v>
      </c>
      <c r="B3">
        <v>-0.25823375767328399</v>
      </c>
      <c r="C3">
        <v>1</v>
      </c>
      <c r="D3">
        <v>0.98799999999999999</v>
      </c>
      <c r="E3">
        <v>1</v>
      </c>
      <c r="F3" t="s">
        <v>1963</v>
      </c>
      <c r="G3" t="s">
        <v>1964</v>
      </c>
      <c r="H3" t="s">
        <v>1963</v>
      </c>
      <c r="I3" t="str">
        <f>HYPERLINK("https://zfin.org/ZDB-GENE-011205-15")</f>
        <v>https://zfin.org/ZDB-GENE-011205-15</v>
      </c>
      <c r="J3" t="s">
        <v>1962</v>
      </c>
    </row>
    <row r="4" spans="1:10" x14ac:dyDescent="0.2">
      <c r="A4">
        <v>4.00219448614237E-3</v>
      </c>
      <c r="B4">
        <v>-0.71953897278258805</v>
      </c>
      <c r="C4">
        <v>6.2E-2</v>
      </c>
      <c r="D4">
        <v>0.19800000000000001</v>
      </c>
      <c r="E4">
        <v>1</v>
      </c>
      <c r="F4" t="s">
        <v>1960</v>
      </c>
      <c r="G4" t="s">
        <v>1961</v>
      </c>
      <c r="H4" t="s">
        <v>1960</v>
      </c>
      <c r="I4" t="str">
        <f>HYPERLINK("https://zfin.org/ZDB-GENE-091204-431")</f>
        <v>https://zfin.org/ZDB-GENE-091204-431</v>
      </c>
      <c r="J4" t="s">
        <v>1959</v>
      </c>
    </row>
    <row r="5" spans="1:10" x14ac:dyDescent="0.2">
      <c r="A5">
        <v>5.47455566780737E-3</v>
      </c>
      <c r="B5">
        <v>-0.31957882177619801</v>
      </c>
      <c r="C5">
        <v>0.83299999999999996</v>
      </c>
      <c r="D5">
        <v>0.872</v>
      </c>
      <c r="E5">
        <v>1</v>
      </c>
      <c r="F5" t="s">
        <v>1957</v>
      </c>
      <c r="G5" t="s">
        <v>1958</v>
      </c>
      <c r="H5" t="s">
        <v>1957</v>
      </c>
      <c r="I5" t="str">
        <f>HYPERLINK("https://zfin.org/ZDB-GENE-030131-8671")</f>
        <v>https://zfin.org/ZDB-GENE-030131-8671</v>
      </c>
      <c r="J5" t="s">
        <v>1956</v>
      </c>
    </row>
    <row r="6" spans="1:10" x14ac:dyDescent="0.2">
      <c r="A6">
        <v>5.5447584958166797E-3</v>
      </c>
      <c r="B6">
        <v>-0.46271657570948499</v>
      </c>
      <c r="C6">
        <v>0.29199999999999998</v>
      </c>
      <c r="D6">
        <v>0.45300000000000001</v>
      </c>
      <c r="E6">
        <v>1</v>
      </c>
      <c r="F6" t="s">
        <v>1954</v>
      </c>
      <c r="G6" t="s">
        <v>1955</v>
      </c>
      <c r="H6" t="s">
        <v>1954</v>
      </c>
      <c r="I6" t="str">
        <f>HYPERLINK("https://zfin.org/ZDB-GENE-030131-7332")</f>
        <v>https://zfin.org/ZDB-GENE-030131-7332</v>
      </c>
      <c r="J6" t="s">
        <v>1953</v>
      </c>
    </row>
    <row r="7" spans="1:10" x14ac:dyDescent="0.2">
      <c r="A7">
        <v>6.38712742450105E-3</v>
      </c>
      <c r="B7">
        <v>-0.63469273174671403</v>
      </c>
      <c r="C7">
        <v>3.1E-2</v>
      </c>
      <c r="D7">
        <v>0.14000000000000001</v>
      </c>
      <c r="E7">
        <v>1</v>
      </c>
      <c r="F7" t="s">
        <v>1951</v>
      </c>
      <c r="G7" t="s">
        <v>1952</v>
      </c>
      <c r="H7" t="s">
        <v>1951</v>
      </c>
      <c r="I7" t="str">
        <f>HYPERLINK("https://zfin.org/ZDB-GENE-030131-7677")</f>
        <v>https://zfin.org/ZDB-GENE-030131-7677</v>
      </c>
      <c r="J7" t="s">
        <v>1950</v>
      </c>
    </row>
    <row r="8" spans="1:10" x14ac:dyDescent="0.2">
      <c r="A8">
        <v>6.4144224580842298E-3</v>
      </c>
      <c r="B8">
        <v>-0.303899817465072</v>
      </c>
      <c r="C8">
        <v>0.69799999999999995</v>
      </c>
      <c r="D8">
        <v>0.74399999999999999</v>
      </c>
      <c r="E8">
        <v>1</v>
      </c>
      <c r="F8" t="s">
        <v>1948</v>
      </c>
      <c r="G8" t="s">
        <v>1949</v>
      </c>
      <c r="H8" t="s">
        <v>1948</v>
      </c>
      <c r="I8" t="str">
        <f>HYPERLINK("https://zfin.org/ZDB-GENE-050417-329")</f>
        <v>https://zfin.org/ZDB-GENE-050417-329</v>
      </c>
      <c r="J8" t="s">
        <v>1947</v>
      </c>
    </row>
    <row r="9" spans="1:10" x14ac:dyDescent="0.2">
      <c r="A9">
        <v>6.7404873564201198E-3</v>
      </c>
      <c r="B9">
        <v>-0.57996302496873298</v>
      </c>
      <c r="C9">
        <v>9.4E-2</v>
      </c>
      <c r="D9">
        <v>0.23300000000000001</v>
      </c>
      <c r="E9">
        <v>1</v>
      </c>
      <c r="F9" t="s">
        <v>1945</v>
      </c>
      <c r="G9" t="s">
        <v>1946</v>
      </c>
      <c r="H9" t="s">
        <v>1945</v>
      </c>
      <c r="I9" t="str">
        <f>HYPERLINK("https://zfin.org/ZDB-GENE-980526-335")</f>
        <v>https://zfin.org/ZDB-GENE-980526-335</v>
      </c>
      <c r="J9" t="s">
        <v>1944</v>
      </c>
    </row>
    <row r="10" spans="1:10" x14ac:dyDescent="0.2">
      <c r="A10">
        <v>7.8208583227055498E-3</v>
      </c>
      <c r="B10">
        <v>-0.30994782012105099</v>
      </c>
      <c r="C10">
        <v>0.61499999999999999</v>
      </c>
      <c r="D10">
        <v>0.68600000000000005</v>
      </c>
      <c r="E10">
        <v>1</v>
      </c>
      <c r="F10" t="s">
        <v>1942</v>
      </c>
      <c r="G10" t="s">
        <v>1943</v>
      </c>
      <c r="H10" t="s">
        <v>1942</v>
      </c>
      <c r="I10" t="str">
        <f>HYPERLINK("https://zfin.org/ZDB-GENE-000210-25")</f>
        <v>https://zfin.org/ZDB-GENE-000210-25</v>
      </c>
      <c r="J10" t="s">
        <v>1941</v>
      </c>
    </row>
    <row r="11" spans="1:10" x14ac:dyDescent="0.2">
      <c r="A11">
        <v>8.4553153114407895E-3</v>
      </c>
      <c r="B11">
        <v>-0.27619229510509402</v>
      </c>
      <c r="C11">
        <v>0.89600000000000002</v>
      </c>
      <c r="D11">
        <v>0.91900000000000004</v>
      </c>
      <c r="E11">
        <v>1</v>
      </c>
      <c r="F11" t="s">
        <v>1939</v>
      </c>
      <c r="G11" t="s">
        <v>1940</v>
      </c>
      <c r="H11" t="s">
        <v>1939</v>
      </c>
      <c r="I11" t="str">
        <f>HYPERLINK("https://zfin.org/ZDB-GENE-050320-61")</f>
        <v>https://zfin.org/ZDB-GENE-050320-61</v>
      </c>
      <c r="J11" t="s">
        <v>1938</v>
      </c>
    </row>
    <row r="12" spans="1:10" x14ac:dyDescent="0.2">
      <c r="A12">
        <v>8.8630987210262403E-3</v>
      </c>
      <c r="B12">
        <v>-0.54632901106046905</v>
      </c>
      <c r="C12">
        <v>2.1000000000000001E-2</v>
      </c>
      <c r="D12">
        <v>0.11600000000000001</v>
      </c>
      <c r="E12">
        <v>1</v>
      </c>
      <c r="F12" t="s">
        <v>1936</v>
      </c>
      <c r="G12" t="s">
        <v>1937</v>
      </c>
      <c r="H12" t="s">
        <v>1936</v>
      </c>
      <c r="I12" t="str">
        <f>HYPERLINK("https://zfin.org/ZDB-GENE-041010-89")</f>
        <v>https://zfin.org/ZDB-GENE-041010-89</v>
      </c>
      <c r="J12" t="s">
        <v>1935</v>
      </c>
    </row>
    <row r="13" spans="1:10" x14ac:dyDescent="0.2">
      <c r="A13">
        <v>9.2092429429573696E-3</v>
      </c>
      <c r="B13">
        <v>-0.46474325014061801</v>
      </c>
      <c r="C13">
        <v>2.1000000000000001E-2</v>
      </c>
      <c r="D13">
        <v>0.11600000000000001</v>
      </c>
      <c r="E13">
        <v>1</v>
      </c>
      <c r="F13" t="s">
        <v>1933</v>
      </c>
      <c r="G13" t="s">
        <v>1934</v>
      </c>
      <c r="H13" t="s">
        <v>1933</v>
      </c>
      <c r="I13" t="str">
        <f>HYPERLINK("https://zfin.org/ZDB-GENE-070112-1412")</f>
        <v>https://zfin.org/ZDB-GENE-070112-1412</v>
      </c>
      <c r="J13" t="s">
        <v>1932</v>
      </c>
    </row>
    <row r="14" spans="1:10" x14ac:dyDescent="0.2">
      <c r="A14">
        <v>1.17986281913841E-2</v>
      </c>
      <c r="B14">
        <v>-0.30118955951439902</v>
      </c>
      <c r="C14">
        <v>1</v>
      </c>
      <c r="D14">
        <v>1</v>
      </c>
      <c r="E14">
        <v>1</v>
      </c>
      <c r="F14" t="s">
        <v>10</v>
      </c>
      <c r="G14" t="s">
        <v>11</v>
      </c>
      <c r="H14" t="s">
        <v>10</v>
      </c>
      <c r="I14" t="str">
        <f>HYPERLINK("https://zfin.org/ZDB-GENE-080225-18")</f>
        <v>https://zfin.org/ZDB-GENE-080225-18</v>
      </c>
      <c r="J14" t="s">
        <v>12</v>
      </c>
    </row>
    <row r="15" spans="1:10" x14ac:dyDescent="0.2">
      <c r="A15">
        <v>1.1919037114123499E-2</v>
      </c>
      <c r="B15">
        <v>-0.44839024456894</v>
      </c>
      <c r="C15">
        <v>5.1999999999999998E-2</v>
      </c>
      <c r="D15">
        <v>0.16300000000000001</v>
      </c>
      <c r="E15">
        <v>1</v>
      </c>
      <c r="F15" t="s">
        <v>1930</v>
      </c>
      <c r="G15" t="s">
        <v>1931</v>
      </c>
      <c r="H15" t="s">
        <v>1930</v>
      </c>
      <c r="I15" t="str">
        <f>HYPERLINK("https://zfin.org/ZDB-GENE-070112-1542")</f>
        <v>https://zfin.org/ZDB-GENE-070112-1542</v>
      </c>
      <c r="J15" t="s">
        <v>1929</v>
      </c>
    </row>
    <row r="16" spans="1:10" x14ac:dyDescent="0.2">
      <c r="A16">
        <v>1.2387544133831399E-2</v>
      </c>
      <c r="B16">
        <v>-0.31537786517412097</v>
      </c>
      <c r="C16">
        <v>0.77100000000000002</v>
      </c>
      <c r="D16">
        <v>0.86</v>
      </c>
      <c r="E16">
        <v>1</v>
      </c>
      <c r="F16" t="s">
        <v>174</v>
      </c>
      <c r="G16" t="s">
        <v>175</v>
      </c>
      <c r="H16" t="s">
        <v>174</v>
      </c>
      <c r="I16" t="str">
        <f>HYPERLINK("https://zfin.org/ZDB-GENE-050308-1")</f>
        <v>https://zfin.org/ZDB-GENE-050308-1</v>
      </c>
      <c r="J16" t="s">
        <v>176</v>
      </c>
    </row>
    <row r="17" spans="1:10" x14ac:dyDescent="0.2">
      <c r="A17">
        <v>1.41925520994033E-2</v>
      </c>
      <c r="B17">
        <v>-0.317745386753153</v>
      </c>
      <c r="C17">
        <v>0.875</v>
      </c>
      <c r="D17">
        <v>0.89500000000000002</v>
      </c>
      <c r="E17">
        <v>1</v>
      </c>
      <c r="F17" t="s">
        <v>40</v>
      </c>
      <c r="G17" t="s">
        <v>41</v>
      </c>
      <c r="H17" t="s">
        <v>40</v>
      </c>
      <c r="I17" t="str">
        <f>HYPERLINK("https://zfin.org/ZDB-GENE-030131-1819")</f>
        <v>https://zfin.org/ZDB-GENE-030131-1819</v>
      </c>
      <c r="J17" t="s">
        <v>42</v>
      </c>
    </row>
    <row r="18" spans="1:10" x14ac:dyDescent="0.2">
      <c r="A18">
        <v>1.4441149685715001E-2</v>
      </c>
      <c r="B18">
        <v>-0.45926946351394898</v>
      </c>
      <c r="C18">
        <v>6.2E-2</v>
      </c>
      <c r="D18">
        <v>0.17399999999999999</v>
      </c>
      <c r="E18">
        <v>1</v>
      </c>
      <c r="F18" t="s">
        <v>1927</v>
      </c>
      <c r="G18" t="s">
        <v>1928</v>
      </c>
      <c r="H18" t="s">
        <v>1927</v>
      </c>
      <c r="I18" t="str">
        <f>HYPERLINK("https://zfin.org/ZDB-GENE-070912-634")</f>
        <v>https://zfin.org/ZDB-GENE-070912-634</v>
      </c>
      <c r="J18" t="s">
        <v>1926</v>
      </c>
    </row>
    <row r="19" spans="1:10" x14ac:dyDescent="0.2">
      <c r="A19">
        <v>1.6343516602020099E-2</v>
      </c>
      <c r="B19">
        <v>-0.48296339348528899</v>
      </c>
      <c r="C19">
        <v>0.104</v>
      </c>
      <c r="D19">
        <v>0.23300000000000001</v>
      </c>
      <c r="E19">
        <v>1</v>
      </c>
      <c r="F19" t="s">
        <v>1924</v>
      </c>
      <c r="G19" t="s">
        <v>1925</v>
      </c>
      <c r="H19" t="s">
        <v>1924</v>
      </c>
      <c r="I19" t="str">
        <f>HYPERLINK("https://zfin.org/ZDB-GENE-030131-7828")</f>
        <v>https://zfin.org/ZDB-GENE-030131-7828</v>
      </c>
      <c r="J19" t="s">
        <v>1923</v>
      </c>
    </row>
    <row r="20" spans="1:10" x14ac:dyDescent="0.2">
      <c r="A20">
        <v>1.6772443913798001E-2</v>
      </c>
      <c r="B20">
        <v>-0.40296755975524501</v>
      </c>
      <c r="C20">
        <v>2.1000000000000001E-2</v>
      </c>
      <c r="D20">
        <v>0.105</v>
      </c>
      <c r="E20">
        <v>1</v>
      </c>
      <c r="F20" t="s">
        <v>1921</v>
      </c>
      <c r="G20" t="s">
        <v>1922</v>
      </c>
      <c r="H20" t="s">
        <v>1921</v>
      </c>
      <c r="I20" t="str">
        <f>HYPERLINK("https://zfin.org/ZDB-GENE-081104-235")</f>
        <v>https://zfin.org/ZDB-GENE-081104-235</v>
      </c>
      <c r="J20" t="s">
        <v>1920</v>
      </c>
    </row>
    <row r="21" spans="1:10" x14ac:dyDescent="0.2">
      <c r="A21">
        <v>1.6858454745495799E-2</v>
      </c>
      <c r="B21">
        <v>-0.44529774295699498</v>
      </c>
      <c r="C21">
        <v>7.2999999999999995E-2</v>
      </c>
      <c r="D21">
        <v>0.186</v>
      </c>
      <c r="E21">
        <v>1</v>
      </c>
      <c r="F21" t="s">
        <v>1918</v>
      </c>
      <c r="G21" t="s">
        <v>1919</v>
      </c>
      <c r="H21" t="s">
        <v>1918</v>
      </c>
      <c r="I21" t="str">
        <f>HYPERLINK("https://zfin.org/ZDB-GENE-021011-1")</f>
        <v>https://zfin.org/ZDB-GENE-021011-1</v>
      </c>
      <c r="J21" t="s">
        <v>1917</v>
      </c>
    </row>
    <row r="22" spans="1:10" x14ac:dyDescent="0.2">
      <c r="A22">
        <v>1.74062927074107E-2</v>
      </c>
      <c r="B22">
        <v>-0.34592064972205</v>
      </c>
      <c r="C22">
        <v>2.1000000000000001E-2</v>
      </c>
      <c r="D22">
        <v>0.105</v>
      </c>
      <c r="E22">
        <v>1</v>
      </c>
      <c r="F22" t="s">
        <v>1915</v>
      </c>
      <c r="G22" t="s">
        <v>1916</v>
      </c>
      <c r="H22" t="s">
        <v>1915</v>
      </c>
      <c r="I22" t="str">
        <f>HYPERLINK("https://zfin.org/ZDB-GENE-050417-383")</f>
        <v>https://zfin.org/ZDB-GENE-050417-383</v>
      </c>
      <c r="J22" t="s">
        <v>1914</v>
      </c>
    </row>
    <row r="23" spans="1:10" x14ac:dyDescent="0.2">
      <c r="A23">
        <v>1.7542578752813901E-2</v>
      </c>
      <c r="B23">
        <v>-0.45478466128877898</v>
      </c>
      <c r="C23">
        <v>7.2999999999999995E-2</v>
      </c>
      <c r="D23">
        <v>0.186</v>
      </c>
      <c r="E23">
        <v>1</v>
      </c>
      <c r="F23" t="s">
        <v>1912</v>
      </c>
      <c r="G23" t="s">
        <v>1913</v>
      </c>
      <c r="H23" t="s">
        <v>1912</v>
      </c>
      <c r="I23" t="str">
        <f>HYPERLINK("https://zfin.org/ZDB-GENE-041010-154")</f>
        <v>https://zfin.org/ZDB-GENE-041010-154</v>
      </c>
      <c r="J23" t="s">
        <v>1911</v>
      </c>
    </row>
    <row r="24" spans="1:10" x14ac:dyDescent="0.2">
      <c r="A24">
        <v>1.7660424705163401E-2</v>
      </c>
      <c r="B24">
        <v>-0.41534362051464402</v>
      </c>
      <c r="C24">
        <v>4.2000000000000003E-2</v>
      </c>
      <c r="D24">
        <v>0.14000000000000001</v>
      </c>
      <c r="E24">
        <v>1</v>
      </c>
      <c r="F24" t="s">
        <v>1909</v>
      </c>
      <c r="G24" t="s">
        <v>1910</v>
      </c>
      <c r="H24" t="s">
        <v>1909</v>
      </c>
      <c r="I24" t="str">
        <f>HYPERLINK("https://zfin.org/ZDB-GENE-141222-32")</f>
        <v>https://zfin.org/ZDB-GENE-141222-32</v>
      </c>
      <c r="J24" t="s">
        <v>1908</v>
      </c>
    </row>
    <row r="25" spans="1:10" x14ac:dyDescent="0.2">
      <c r="A25">
        <v>1.8436630395384099E-2</v>
      </c>
      <c r="B25">
        <v>-0.56660006671832597</v>
      </c>
      <c r="C25">
        <v>0.34399999999999997</v>
      </c>
      <c r="D25">
        <v>0.46500000000000002</v>
      </c>
      <c r="E25">
        <v>1</v>
      </c>
      <c r="F25" t="s">
        <v>1906</v>
      </c>
      <c r="G25" t="s">
        <v>1907</v>
      </c>
      <c r="H25" t="s">
        <v>1906</v>
      </c>
      <c r="I25" t="str">
        <f>HYPERLINK("https://zfin.org/ZDB-GENE-980526-416")</f>
        <v>https://zfin.org/ZDB-GENE-980526-416</v>
      </c>
      <c r="J25" t="s">
        <v>1905</v>
      </c>
    </row>
    <row r="26" spans="1:10" x14ac:dyDescent="0.2">
      <c r="A26">
        <v>2.0597511811577301E-2</v>
      </c>
      <c r="B26">
        <v>-0.36583166580701698</v>
      </c>
      <c r="C26">
        <v>4.2000000000000003E-2</v>
      </c>
      <c r="D26">
        <v>0.14000000000000001</v>
      </c>
      <c r="E26">
        <v>1</v>
      </c>
      <c r="F26" t="s">
        <v>1903</v>
      </c>
      <c r="G26" t="s">
        <v>1904</v>
      </c>
      <c r="H26" t="s">
        <v>1903</v>
      </c>
      <c r="I26" t="str">
        <f>HYPERLINK("https://zfin.org/ZDB-GENE-060503-672")</f>
        <v>https://zfin.org/ZDB-GENE-060503-672</v>
      </c>
      <c r="J26" t="s">
        <v>1902</v>
      </c>
    </row>
    <row r="27" spans="1:10" x14ac:dyDescent="0.2">
      <c r="A27">
        <v>2.1966392925448198E-2</v>
      </c>
      <c r="B27">
        <v>-0.46168329295263999</v>
      </c>
      <c r="C27">
        <v>0.36499999999999999</v>
      </c>
      <c r="D27">
        <v>0.45300000000000001</v>
      </c>
      <c r="E27">
        <v>1</v>
      </c>
      <c r="F27" t="s">
        <v>195</v>
      </c>
      <c r="G27" t="s">
        <v>196</v>
      </c>
      <c r="H27" t="s">
        <v>195</v>
      </c>
      <c r="I27" t="str">
        <f>HYPERLINK("https://zfin.org/ZDB-GENE-030131-5493")</f>
        <v>https://zfin.org/ZDB-GENE-030131-5493</v>
      </c>
      <c r="J27" t="s">
        <v>197</v>
      </c>
    </row>
    <row r="28" spans="1:10" x14ac:dyDescent="0.2">
      <c r="A28">
        <v>2.6968665583654201E-2</v>
      </c>
      <c r="B28">
        <v>-0.448366201480138</v>
      </c>
      <c r="C28">
        <v>8.3000000000000004E-2</v>
      </c>
      <c r="D28">
        <v>0.186</v>
      </c>
      <c r="E28">
        <v>1</v>
      </c>
      <c r="F28" t="s">
        <v>1900</v>
      </c>
      <c r="G28" t="s">
        <v>1901</v>
      </c>
      <c r="H28" t="s">
        <v>1900</v>
      </c>
      <c r="I28" t="str">
        <f>HYPERLINK("https://zfin.org/ZDB-GENE-030131-7452")</f>
        <v>https://zfin.org/ZDB-GENE-030131-7452</v>
      </c>
      <c r="J28" t="s">
        <v>1899</v>
      </c>
    </row>
    <row r="29" spans="1:10" x14ac:dyDescent="0.2">
      <c r="A29">
        <v>2.8647727150232501E-2</v>
      </c>
      <c r="B29">
        <v>-0.407088318297115</v>
      </c>
      <c r="C29">
        <v>0.104</v>
      </c>
      <c r="D29">
        <v>0.20899999999999999</v>
      </c>
      <c r="E29">
        <v>1</v>
      </c>
      <c r="F29" t="s">
        <v>306</v>
      </c>
      <c r="G29" t="s">
        <v>307</v>
      </c>
      <c r="H29" t="s">
        <v>306</v>
      </c>
      <c r="I29" t="str">
        <f>HYPERLINK("https://zfin.org/ZDB-GENE-141215-49")</f>
        <v>https://zfin.org/ZDB-GENE-141215-49</v>
      </c>
      <c r="J29" t="s">
        <v>308</v>
      </c>
    </row>
    <row r="30" spans="1:10" x14ac:dyDescent="0.2">
      <c r="A30">
        <v>2.9640599227341601E-2</v>
      </c>
      <c r="B30">
        <v>-0.29692845489269898</v>
      </c>
      <c r="C30">
        <v>0.36499999999999999</v>
      </c>
      <c r="D30">
        <v>0.5</v>
      </c>
      <c r="E30">
        <v>1</v>
      </c>
      <c r="F30" t="s">
        <v>94</v>
      </c>
      <c r="G30" t="s">
        <v>95</v>
      </c>
      <c r="H30" t="s">
        <v>94</v>
      </c>
      <c r="I30" t="str">
        <f>HYPERLINK("https://zfin.org/ZDB-GENE-010129-1")</f>
        <v>https://zfin.org/ZDB-GENE-010129-1</v>
      </c>
      <c r="J30" t="s">
        <v>96</v>
      </c>
    </row>
    <row r="31" spans="1:10" x14ac:dyDescent="0.2">
      <c r="A31">
        <v>2.9876300994995501E-2</v>
      </c>
      <c r="B31">
        <v>-0.43251565521176699</v>
      </c>
      <c r="C31">
        <v>4.2000000000000003E-2</v>
      </c>
      <c r="D31">
        <v>0.128</v>
      </c>
      <c r="E31">
        <v>1</v>
      </c>
      <c r="F31" t="s">
        <v>1897</v>
      </c>
      <c r="G31" t="s">
        <v>1898</v>
      </c>
      <c r="H31" t="s">
        <v>1897</v>
      </c>
      <c r="I31" t="str">
        <f>HYPERLINK("https://zfin.org/ZDB-GENE-040915-1")</f>
        <v>https://zfin.org/ZDB-GENE-040915-1</v>
      </c>
      <c r="J31" t="s">
        <v>1896</v>
      </c>
    </row>
    <row r="32" spans="1:10" x14ac:dyDescent="0.2">
      <c r="A32">
        <v>3.15312833522952E-2</v>
      </c>
      <c r="B32">
        <v>-0.47671169844744199</v>
      </c>
      <c r="C32">
        <v>7.2999999999999995E-2</v>
      </c>
      <c r="D32">
        <v>0.17399999999999999</v>
      </c>
      <c r="E32">
        <v>1</v>
      </c>
      <c r="F32" t="s">
        <v>1337</v>
      </c>
      <c r="G32" t="s">
        <v>1338</v>
      </c>
      <c r="H32" t="s">
        <v>1337</v>
      </c>
      <c r="I32" t="str">
        <f>HYPERLINK("https://zfin.org/ZDB-GENE-110411-139")</f>
        <v>https://zfin.org/ZDB-GENE-110411-139</v>
      </c>
      <c r="J32" t="s">
        <v>1336</v>
      </c>
    </row>
    <row r="33" spans="1:10" x14ac:dyDescent="0.2">
      <c r="A33">
        <v>3.6179572614661697E-2</v>
      </c>
      <c r="B33">
        <v>-0.26867488187858601</v>
      </c>
      <c r="C33">
        <v>4.2000000000000003E-2</v>
      </c>
      <c r="D33">
        <v>0.128</v>
      </c>
      <c r="E33">
        <v>1</v>
      </c>
      <c r="F33" t="s">
        <v>1894</v>
      </c>
      <c r="G33" t="s">
        <v>1895</v>
      </c>
      <c r="H33" t="s">
        <v>1894</v>
      </c>
      <c r="I33" t="str">
        <f>HYPERLINK("https://zfin.org/ZDB-GENE-030131-6989")</f>
        <v>https://zfin.org/ZDB-GENE-030131-6989</v>
      </c>
      <c r="J33" t="s">
        <v>1893</v>
      </c>
    </row>
    <row r="34" spans="1:10" x14ac:dyDescent="0.2">
      <c r="A34">
        <v>3.8429223219170298E-2</v>
      </c>
      <c r="B34">
        <v>-0.35465576634558998</v>
      </c>
      <c r="C34">
        <v>3.1E-2</v>
      </c>
      <c r="D34">
        <v>0.105</v>
      </c>
      <c r="E34">
        <v>1</v>
      </c>
      <c r="F34" t="s">
        <v>1891</v>
      </c>
      <c r="G34" t="s">
        <v>1892</v>
      </c>
      <c r="H34" t="s">
        <v>1891</v>
      </c>
      <c r="I34" t="str">
        <f>HYPERLINK("https://zfin.org/ZDB-GENE-030131-6223")</f>
        <v>https://zfin.org/ZDB-GENE-030131-6223</v>
      </c>
      <c r="J34" t="s">
        <v>1890</v>
      </c>
    </row>
    <row r="35" spans="1:10" x14ac:dyDescent="0.2">
      <c r="A35">
        <v>3.8464327744775997E-2</v>
      </c>
      <c r="B35">
        <v>-0.258036660402575</v>
      </c>
      <c r="C35">
        <v>0.71899999999999997</v>
      </c>
      <c r="D35">
        <v>0.77900000000000003</v>
      </c>
      <c r="E35">
        <v>1</v>
      </c>
      <c r="F35" t="s">
        <v>61</v>
      </c>
      <c r="G35" t="s">
        <v>62</v>
      </c>
      <c r="H35" t="s">
        <v>61</v>
      </c>
      <c r="I35" t="str">
        <f>HYPERLINK("https://zfin.org/ZDB-GENE-010726-1")</f>
        <v>https://zfin.org/ZDB-GENE-010726-1</v>
      </c>
      <c r="J35" t="s">
        <v>63</v>
      </c>
    </row>
    <row r="36" spans="1:10" x14ac:dyDescent="0.2">
      <c r="A36">
        <v>4.0306625724464099E-2</v>
      </c>
      <c r="B36">
        <v>-0.39137433766146101</v>
      </c>
      <c r="C36">
        <v>3.1E-2</v>
      </c>
      <c r="D36">
        <v>0.105</v>
      </c>
      <c r="E36">
        <v>1</v>
      </c>
      <c r="F36" t="s">
        <v>1888</v>
      </c>
      <c r="G36" t="s">
        <v>1889</v>
      </c>
      <c r="H36" t="s">
        <v>1888</v>
      </c>
      <c r="I36" t="str">
        <f>HYPERLINK("https://zfin.org/ZDB-GENE-030131-298")</f>
        <v>https://zfin.org/ZDB-GENE-030131-298</v>
      </c>
      <c r="J36" t="s">
        <v>1887</v>
      </c>
    </row>
    <row r="37" spans="1:10" x14ac:dyDescent="0.2">
      <c r="A37">
        <v>4.2261235805291397E-2</v>
      </c>
      <c r="B37">
        <v>-0.36803439634429003</v>
      </c>
      <c r="C37">
        <v>3.1E-2</v>
      </c>
      <c r="D37">
        <v>0.105</v>
      </c>
      <c r="E37">
        <v>1</v>
      </c>
      <c r="F37" t="s">
        <v>1885</v>
      </c>
      <c r="G37" t="s">
        <v>1886</v>
      </c>
      <c r="H37" t="s">
        <v>1885</v>
      </c>
      <c r="I37" t="str">
        <f>HYPERLINK("https://zfin.org/ZDB-GENE-050223-1")</f>
        <v>https://zfin.org/ZDB-GENE-050223-1</v>
      </c>
      <c r="J37" t="s">
        <v>1884</v>
      </c>
    </row>
    <row r="38" spans="1:10" x14ac:dyDescent="0.2">
      <c r="A38">
        <v>4.6411670127812603E-2</v>
      </c>
      <c r="B38">
        <v>-0.33748734307426498</v>
      </c>
      <c r="C38">
        <v>3.1E-2</v>
      </c>
      <c r="D38">
        <v>0.105</v>
      </c>
      <c r="E38">
        <v>1</v>
      </c>
      <c r="F38" t="s">
        <v>1882</v>
      </c>
      <c r="G38" t="s">
        <v>1883</v>
      </c>
      <c r="H38" t="s">
        <v>1882</v>
      </c>
      <c r="I38" t="str">
        <f>HYPERLINK("https://zfin.org/ZDB-GENE-070424-90")</f>
        <v>https://zfin.org/ZDB-GENE-070424-90</v>
      </c>
      <c r="J38" t="s">
        <v>1881</v>
      </c>
    </row>
    <row r="39" spans="1:10" x14ac:dyDescent="0.2">
      <c r="A39">
        <v>4.6411670127812603E-2</v>
      </c>
      <c r="B39">
        <v>-0.35366845076016201</v>
      </c>
      <c r="C39">
        <v>3.1E-2</v>
      </c>
      <c r="D39">
        <v>0.105</v>
      </c>
      <c r="E39">
        <v>1</v>
      </c>
      <c r="F39" t="s">
        <v>1879</v>
      </c>
      <c r="G39" t="s">
        <v>1880</v>
      </c>
      <c r="H39" t="s">
        <v>1879</v>
      </c>
      <c r="I39" t="str">
        <f>HYPERLINK("https://zfin.org/ZDB-GENE-030428-1")</f>
        <v>https://zfin.org/ZDB-GENE-030428-1</v>
      </c>
      <c r="J39" t="s">
        <v>1878</v>
      </c>
    </row>
    <row r="40" spans="1:10" x14ac:dyDescent="0.2">
      <c r="A40">
        <v>4.7847135435841598E-2</v>
      </c>
      <c r="B40">
        <v>-0.434182543325565</v>
      </c>
      <c r="C40">
        <v>7.2999999999999995E-2</v>
      </c>
      <c r="D40">
        <v>0.16300000000000001</v>
      </c>
      <c r="E40">
        <v>1</v>
      </c>
      <c r="F40" t="s">
        <v>1877</v>
      </c>
      <c r="G40" t="s">
        <v>1876</v>
      </c>
      <c r="H40" t="s">
        <v>1875</v>
      </c>
      <c r="I40" t="str">
        <f>HYPERLINK("https://zfin.org/ZDB-GENE-100921-87")</f>
        <v>https://zfin.org/ZDB-GENE-100921-87</v>
      </c>
      <c r="J40" t="s">
        <v>1874</v>
      </c>
    </row>
    <row r="41" spans="1:10" x14ac:dyDescent="0.2">
      <c r="A41">
        <v>4.9977458545571597E-2</v>
      </c>
      <c r="B41">
        <v>-0.32853244457705699</v>
      </c>
      <c r="C41">
        <v>8.3000000000000004E-2</v>
      </c>
      <c r="D41">
        <v>0.17399999999999999</v>
      </c>
      <c r="E41">
        <v>1</v>
      </c>
      <c r="F41" t="s">
        <v>1872</v>
      </c>
      <c r="G41" t="s">
        <v>1873</v>
      </c>
      <c r="H41" t="s">
        <v>1872</v>
      </c>
      <c r="I41" t="str">
        <f>HYPERLINK("https://zfin.org/ZDB-GENE-030131-6858")</f>
        <v>https://zfin.org/ZDB-GENE-030131-6858</v>
      </c>
      <c r="J41" t="s">
        <v>1871</v>
      </c>
    </row>
    <row r="42" spans="1:10" x14ac:dyDescent="0.2">
      <c r="A42">
        <v>5.1048410902340399E-2</v>
      </c>
      <c r="B42">
        <v>-0.58407364122109495</v>
      </c>
      <c r="C42">
        <v>0.47899999999999998</v>
      </c>
      <c r="D42">
        <v>0.55800000000000005</v>
      </c>
      <c r="E42">
        <v>1</v>
      </c>
      <c r="F42" t="s">
        <v>1869</v>
      </c>
      <c r="G42" t="s">
        <v>1870</v>
      </c>
      <c r="H42" t="s">
        <v>1869</v>
      </c>
      <c r="I42" t="str">
        <f>HYPERLINK("https://zfin.org/ZDB-GENE-061103-301")</f>
        <v>https://zfin.org/ZDB-GENE-061103-301</v>
      </c>
      <c r="J42" t="s">
        <v>1868</v>
      </c>
    </row>
    <row r="43" spans="1:10" x14ac:dyDescent="0.2">
      <c r="A43">
        <v>5.13148958603281E-2</v>
      </c>
      <c r="B43">
        <v>-0.38341034326526202</v>
      </c>
      <c r="C43">
        <v>4.2000000000000003E-2</v>
      </c>
      <c r="D43">
        <v>0.11600000000000001</v>
      </c>
      <c r="E43">
        <v>1</v>
      </c>
      <c r="F43" t="s">
        <v>1866</v>
      </c>
      <c r="G43" t="s">
        <v>1867</v>
      </c>
      <c r="H43" t="s">
        <v>1866</v>
      </c>
      <c r="I43" t="str">
        <f>HYPERLINK("https://zfin.org/ZDB-GENE-090915-1")</f>
        <v>https://zfin.org/ZDB-GENE-090915-1</v>
      </c>
      <c r="J43" t="s">
        <v>1865</v>
      </c>
    </row>
    <row r="44" spans="1:10" x14ac:dyDescent="0.2">
      <c r="A44">
        <v>5.2513867716576498E-2</v>
      </c>
      <c r="B44">
        <v>-0.28900022140905701</v>
      </c>
      <c r="C44">
        <v>0.40600000000000003</v>
      </c>
      <c r="D44">
        <v>0.52300000000000002</v>
      </c>
      <c r="E44">
        <v>1</v>
      </c>
      <c r="F44" t="s">
        <v>1863</v>
      </c>
      <c r="G44" t="s">
        <v>1864</v>
      </c>
      <c r="H44" t="s">
        <v>1863</v>
      </c>
      <c r="I44" t="str">
        <f>HYPERLINK("https://zfin.org/ZDB-GENE-110307-1")</f>
        <v>https://zfin.org/ZDB-GENE-110307-1</v>
      </c>
      <c r="J44" t="s">
        <v>1862</v>
      </c>
    </row>
    <row r="45" spans="1:10" x14ac:dyDescent="0.2">
      <c r="A45">
        <v>5.4499921441988203E-2</v>
      </c>
      <c r="B45">
        <v>-0.34657465041066798</v>
      </c>
      <c r="C45">
        <v>7.2999999999999995E-2</v>
      </c>
      <c r="D45">
        <v>0.16300000000000001</v>
      </c>
      <c r="E45">
        <v>1</v>
      </c>
      <c r="F45" t="s">
        <v>1860</v>
      </c>
      <c r="G45" t="s">
        <v>1861</v>
      </c>
      <c r="H45" t="s">
        <v>1860</v>
      </c>
      <c r="I45" t="str">
        <f>HYPERLINK("https://zfin.org/ZDB-GENE-081104-462")</f>
        <v>https://zfin.org/ZDB-GENE-081104-462</v>
      </c>
      <c r="J45" t="s">
        <v>1859</v>
      </c>
    </row>
    <row r="46" spans="1:10" x14ac:dyDescent="0.2">
      <c r="A46">
        <v>5.4701023303394401E-2</v>
      </c>
      <c r="B46">
        <v>-0.43912601925948902</v>
      </c>
      <c r="C46">
        <v>0.19800000000000001</v>
      </c>
      <c r="D46">
        <v>0.29099999999999998</v>
      </c>
      <c r="E46">
        <v>1</v>
      </c>
      <c r="F46" t="s">
        <v>1858</v>
      </c>
      <c r="G46" t="s">
        <v>1857</v>
      </c>
      <c r="H46" t="s">
        <v>1856</v>
      </c>
      <c r="I46" t="str">
        <f>HYPERLINK("https://zfin.org/ZDB-GENE-060312-8")</f>
        <v>https://zfin.org/ZDB-GENE-060312-8</v>
      </c>
      <c r="J46" t="s">
        <v>1855</v>
      </c>
    </row>
    <row r="47" spans="1:10" x14ac:dyDescent="0.2">
      <c r="A47">
        <v>5.5068072022801201E-2</v>
      </c>
      <c r="B47">
        <v>-0.349821552159581</v>
      </c>
      <c r="C47">
        <v>4.2000000000000003E-2</v>
      </c>
      <c r="D47">
        <v>0.11600000000000001</v>
      </c>
      <c r="E47">
        <v>1</v>
      </c>
      <c r="F47" t="s">
        <v>1853</v>
      </c>
      <c r="G47" t="s">
        <v>1854</v>
      </c>
      <c r="H47" t="s">
        <v>1853</v>
      </c>
      <c r="I47" t="str">
        <f>HYPERLINK("https://zfin.org/ZDB-GENE-130530-580")</f>
        <v>https://zfin.org/ZDB-GENE-130530-580</v>
      </c>
      <c r="J47" t="s">
        <v>1852</v>
      </c>
    </row>
    <row r="48" spans="1:10" x14ac:dyDescent="0.2">
      <c r="A48">
        <v>5.54964371806679E-2</v>
      </c>
      <c r="B48">
        <v>-0.403319916789731</v>
      </c>
      <c r="C48">
        <v>0.125</v>
      </c>
      <c r="D48">
        <v>0.221</v>
      </c>
      <c r="E48">
        <v>1</v>
      </c>
      <c r="F48" t="s">
        <v>1850</v>
      </c>
      <c r="G48" t="s">
        <v>1851</v>
      </c>
      <c r="H48" t="s">
        <v>1850</v>
      </c>
      <c r="I48" t="str">
        <f>HYPERLINK("https://zfin.org/ZDB-GENE-990415-67")</f>
        <v>https://zfin.org/ZDB-GENE-990415-67</v>
      </c>
      <c r="J48" t="s">
        <v>1849</v>
      </c>
    </row>
    <row r="49" spans="1:10" x14ac:dyDescent="0.2">
      <c r="A49">
        <v>5.6036322593107597E-2</v>
      </c>
      <c r="B49">
        <v>-0.49841190640694499</v>
      </c>
      <c r="C49">
        <v>5.1999999999999998E-2</v>
      </c>
      <c r="D49">
        <v>0.128</v>
      </c>
      <c r="E49">
        <v>1</v>
      </c>
      <c r="F49" t="s">
        <v>1847</v>
      </c>
      <c r="G49" t="s">
        <v>1848</v>
      </c>
      <c r="H49" t="s">
        <v>1847</v>
      </c>
      <c r="I49" t="str">
        <f>HYPERLINK("https://zfin.org/ZDB-GENE-031118-2")</f>
        <v>https://zfin.org/ZDB-GENE-031118-2</v>
      </c>
      <c r="J49" t="s">
        <v>1846</v>
      </c>
    </row>
    <row r="50" spans="1:10" x14ac:dyDescent="0.2">
      <c r="A50">
        <v>5.8785013083013003E-2</v>
      </c>
      <c r="B50">
        <v>-0.25356391899353198</v>
      </c>
      <c r="C50">
        <v>0.94799999999999995</v>
      </c>
      <c r="D50">
        <v>0.94199999999999995</v>
      </c>
      <c r="E50">
        <v>1</v>
      </c>
      <c r="F50" t="s">
        <v>1844</v>
      </c>
      <c r="G50" t="s">
        <v>1845</v>
      </c>
      <c r="H50" t="s">
        <v>1844</v>
      </c>
      <c r="I50" t="str">
        <f>HYPERLINK("https://zfin.org/ZDB-GENE-011205-14")</f>
        <v>https://zfin.org/ZDB-GENE-011205-14</v>
      </c>
      <c r="J50" t="s">
        <v>1843</v>
      </c>
    </row>
    <row r="51" spans="1:10" x14ac:dyDescent="0.2">
      <c r="A51">
        <v>6.0855067457796799E-2</v>
      </c>
      <c r="B51">
        <v>-0.34223614102858602</v>
      </c>
      <c r="C51">
        <v>0.14599999999999999</v>
      </c>
      <c r="D51">
        <v>0.24399999999999999</v>
      </c>
      <c r="E51">
        <v>1</v>
      </c>
      <c r="F51" t="s">
        <v>1841</v>
      </c>
      <c r="G51" t="s">
        <v>1842</v>
      </c>
      <c r="H51" t="s">
        <v>1841</v>
      </c>
      <c r="I51" t="str">
        <f>HYPERLINK("https://zfin.org/ZDB-GENE-061207-7")</f>
        <v>https://zfin.org/ZDB-GENE-061207-7</v>
      </c>
      <c r="J51" t="s">
        <v>1840</v>
      </c>
    </row>
    <row r="52" spans="1:10" x14ac:dyDescent="0.2">
      <c r="A52">
        <v>6.2202561241976803E-2</v>
      </c>
      <c r="B52">
        <v>-0.35674651965891402</v>
      </c>
      <c r="C52">
        <v>5.1999999999999998E-2</v>
      </c>
      <c r="D52">
        <v>0.128</v>
      </c>
      <c r="E52">
        <v>1</v>
      </c>
      <c r="F52" t="s">
        <v>1838</v>
      </c>
      <c r="G52" t="s">
        <v>1839</v>
      </c>
      <c r="H52" t="s">
        <v>1838</v>
      </c>
      <c r="I52" t="str">
        <f>HYPERLINK("https://zfin.org/ZDB-GENE-070928-13")</f>
        <v>https://zfin.org/ZDB-GENE-070928-13</v>
      </c>
      <c r="J52" t="s">
        <v>1837</v>
      </c>
    </row>
    <row r="53" spans="1:10" x14ac:dyDescent="0.2">
      <c r="A53">
        <v>6.4110327738842995E-2</v>
      </c>
      <c r="B53">
        <v>-0.27864685935647798</v>
      </c>
      <c r="C53">
        <v>0.86499999999999999</v>
      </c>
      <c r="D53">
        <v>0.91900000000000004</v>
      </c>
      <c r="E53">
        <v>1</v>
      </c>
      <c r="F53" t="s">
        <v>1835</v>
      </c>
      <c r="G53" t="s">
        <v>1836</v>
      </c>
      <c r="H53" t="s">
        <v>1835</v>
      </c>
      <c r="I53" t="str">
        <f>HYPERLINK("https://zfin.org/")</f>
        <v>https://zfin.org/</v>
      </c>
    </row>
    <row r="54" spans="1:10" x14ac:dyDescent="0.2">
      <c r="A54">
        <v>6.5376996672669704E-2</v>
      </c>
      <c r="B54">
        <v>-0.422806531953756</v>
      </c>
      <c r="C54">
        <v>0.16700000000000001</v>
      </c>
      <c r="D54">
        <v>0.25600000000000001</v>
      </c>
      <c r="E54">
        <v>1</v>
      </c>
      <c r="F54" t="s">
        <v>1833</v>
      </c>
      <c r="G54" t="s">
        <v>1834</v>
      </c>
      <c r="H54" t="s">
        <v>1833</v>
      </c>
      <c r="I54" t="str">
        <f>HYPERLINK("https://zfin.org/ZDB-GENE-980526-531")</f>
        <v>https://zfin.org/ZDB-GENE-980526-531</v>
      </c>
      <c r="J54" t="s">
        <v>1832</v>
      </c>
    </row>
    <row r="55" spans="1:10" x14ac:dyDescent="0.2">
      <c r="A55">
        <v>6.6334130228489593E-2</v>
      </c>
      <c r="B55">
        <v>-0.35390574214117099</v>
      </c>
      <c r="C55">
        <v>5.1999999999999998E-2</v>
      </c>
      <c r="D55">
        <v>0.128</v>
      </c>
      <c r="E55">
        <v>1</v>
      </c>
      <c r="F55" t="s">
        <v>1830</v>
      </c>
      <c r="G55" t="s">
        <v>1831</v>
      </c>
      <c r="H55" t="s">
        <v>1830</v>
      </c>
      <c r="I55" t="str">
        <f>HYPERLINK("https://zfin.org/ZDB-GENE-030131-8875")</f>
        <v>https://zfin.org/ZDB-GENE-030131-8875</v>
      </c>
      <c r="J55" t="s">
        <v>1829</v>
      </c>
    </row>
    <row r="56" spans="1:10" x14ac:dyDescent="0.2">
      <c r="A56">
        <v>6.6504283076315396E-2</v>
      </c>
      <c r="B56">
        <v>-0.30222710361310201</v>
      </c>
      <c r="C56">
        <v>0.74</v>
      </c>
      <c r="D56">
        <v>0.77900000000000003</v>
      </c>
      <c r="E56">
        <v>1</v>
      </c>
      <c r="F56" t="s">
        <v>969</v>
      </c>
      <c r="G56" t="s">
        <v>970</v>
      </c>
      <c r="H56" t="s">
        <v>969</v>
      </c>
      <c r="I56" t="str">
        <f>HYPERLINK("https://zfin.org/ZDB-GENE-060331-121")</f>
        <v>https://zfin.org/ZDB-GENE-060331-121</v>
      </c>
      <c r="J56" t="s">
        <v>968</v>
      </c>
    </row>
    <row r="57" spans="1:10" x14ac:dyDescent="0.2">
      <c r="A57">
        <v>6.8145217767093494E-2</v>
      </c>
      <c r="B57">
        <v>-0.30425204970432201</v>
      </c>
      <c r="C57">
        <v>0.65600000000000003</v>
      </c>
      <c r="D57">
        <v>0.64</v>
      </c>
      <c r="E57">
        <v>1</v>
      </c>
      <c r="F57" t="s">
        <v>899</v>
      </c>
      <c r="G57" t="s">
        <v>900</v>
      </c>
      <c r="H57" t="s">
        <v>899</v>
      </c>
      <c r="I57" t="str">
        <f>HYPERLINK("https://zfin.org/ZDB-GENE-080220-50")</f>
        <v>https://zfin.org/ZDB-GENE-080220-50</v>
      </c>
      <c r="J57" t="s">
        <v>898</v>
      </c>
    </row>
    <row r="58" spans="1:10" x14ac:dyDescent="0.2">
      <c r="A58">
        <v>6.8919805527419706E-2</v>
      </c>
      <c r="B58">
        <v>-0.336215742777834</v>
      </c>
      <c r="C58">
        <v>5.1999999999999998E-2</v>
      </c>
      <c r="D58">
        <v>0.128</v>
      </c>
      <c r="E58">
        <v>1</v>
      </c>
      <c r="F58" t="s">
        <v>1827</v>
      </c>
      <c r="G58" t="s">
        <v>1828</v>
      </c>
      <c r="H58" t="s">
        <v>1827</v>
      </c>
      <c r="I58" t="str">
        <f>HYPERLINK("https://zfin.org/ZDB-GENE-041001-137")</f>
        <v>https://zfin.org/ZDB-GENE-041001-137</v>
      </c>
      <c r="J58" t="s">
        <v>1826</v>
      </c>
    </row>
    <row r="59" spans="1:10" x14ac:dyDescent="0.2">
      <c r="A59">
        <v>7.2884035616880699E-2</v>
      </c>
      <c r="B59">
        <v>-0.38868855987308398</v>
      </c>
      <c r="C59">
        <v>0.17699999999999999</v>
      </c>
      <c r="D59">
        <v>0.27900000000000003</v>
      </c>
      <c r="E59">
        <v>1</v>
      </c>
      <c r="F59" t="s">
        <v>1824</v>
      </c>
      <c r="G59" t="s">
        <v>1825</v>
      </c>
      <c r="H59" t="s">
        <v>1824</v>
      </c>
      <c r="I59" t="str">
        <f>HYPERLINK("https://zfin.org/ZDB-GENE-040801-89")</f>
        <v>https://zfin.org/ZDB-GENE-040801-89</v>
      </c>
      <c r="J59" t="s">
        <v>1823</v>
      </c>
    </row>
    <row r="60" spans="1:10" x14ac:dyDescent="0.2">
      <c r="A60">
        <v>7.4309288147592398E-2</v>
      </c>
      <c r="B60">
        <v>-0.44838398128418799</v>
      </c>
      <c r="C60">
        <v>0.22900000000000001</v>
      </c>
      <c r="D60">
        <v>0.314</v>
      </c>
      <c r="E60">
        <v>1</v>
      </c>
      <c r="F60" t="s">
        <v>1821</v>
      </c>
      <c r="G60" t="s">
        <v>1822</v>
      </c>
      <c r="H60" t="s">
        <v>1821</v>
      </c>
      <c r="I60" t="str">
        <f>HYPERLINK("https://zfin.org/ZDB-GENE-120215-41")</f>
        <v>https://zfin.org/ZDB-GENE-120215-41</v>
      </c>
      <c r="J60" t="s">
        <v>1820</v>
      </c>
    </row>
    <row r="61" spans="1:10" x14ac:dyDescent="0.2">
      <c r="A61">
        <v>7.5003054124665805E-2</v>
      </c>
      <c r="B61">
        <v>-0.36644180292760897</v>
      </c>
      <c r="C61">
        <v>7.2999999999999995E-2</v>
      </c>
      <c r="D61">
        <v>0.151</v>
      </c>
      <c r="E61">
        <v>1</v>
      </c>
      <c r="F61" t="s">
        <v>1818</v>
      </c>
      <c r="G61" t="s">
        <v>1819</v>
      </c>
      <c r="H61" t="s">
        <v>1818</v>
      </c>
      <c r="I61" t="str">
        <f>HYPERLINK("https://zfin.org/ZDB-GENE-041014-149")</f>
        <v>https://zfin.org/ZDB-GENE-041014-149</v>
      </c>
      <c r="J61" t="s">
        <v>1817</v>
      </c>
    </row>
    <row r="62" spans="1:10" x14ac:dyDescent="0.2">
      <c r="A62">
        <v>7.5308542453092001E-2</v>
      </c>
      <c r="B62">
        <v>-0.29498004275850298</v>
      </c>
      <c r="C62">
        <v>0.438</v>
      </c>
      <c r="D62">
        <v>0.52300000000000002</v>
      </c>
      <c r="E62">
        <v>1</v>
      </c>
      <c r="F62" t="s">
        <v>1815</v>
      </c>
      <c r="G62" t="s">
        <v>1816</v>
      </c>
      <c r="H62" t="s">
        <v>1815</v>
      </c>
      <c r="I62" t="str">
        <f>HYPERLINK("https://zfin.org/ZDB-GENE-081022-158")</f>
        <v>https://zfin.org/ZDB-GENE-081022-158</v>
      </c>
      <c r="J62" t="s">
        <v>1814</v>
      </c>
    </row>
    <row r="63" spans="1:10" x14ac:dyDescent="0.2">
      <c r="A63">
        <v>7.8461159127161506E-2</v>
      </c>
      <c r="B63">
        <v>-0.320587709440808</v>
      </c>
      <c r="C63">
        <v>7.2999999999999995E-2</v>
      </c>
      <c r="D63">
        <v>0.151</v>
      </c>
      <c r="E63">
        <v>1</v>
      </c>
      <c r="F63" t="s">
        <v>1812</v>
      </c>
      <c r="G63" t="s">
        <v>1813</v>
      </c>
      <c r="H63" t="s">
        <v>1812</v>
      </c>
      <c r="I63" t="str">
        <f>HYPERLINK("https://zfin.org/ZDB-GENE-030131-4426")</f>
        <v>https://zfin.org/ZDB-GENE-030131-4426</v>
      </c>
      <c r="J63" t="s">
        <v>1811</v>
      </c>
    </row>
    <row r="64" spans="1:10" x14ac:dyDescent="0.2">
      <c r="A64">
        <v>7.9330530332378496E-2</v>
      </c>
      <c r="B64">
        <v>-0.30472861180967198</v>
      </c>
      <c r="C64">
        <v>6.2E-2</v>
      </c>
      <c r="D64">
        <v>0.14000000000000001</v>
      </c>
      <c r="E64">
        <v>1</v>
      </c>
      <c r="F64" t="s">
        <v>1809</v>
      </c>
      <c r="G64" t="s">
        <v>1810</v>
      </c>
      <c r="H64" t="s">
        <v>1809</v>
      </c>
      <c r="I64" t="str">
        <f>HYPERLINK("https://zfin.org/ZDB-GENE-030131-3777")</f>
        <v>https://zfin.org/ZDB-GENE-030131-3777</v>
      </c>
      <c r="J64" t="s">
        <v>1808</v>
      </c>
    </row>
    <row r="65" spans="1:10" x14ac:dyDescent="0.2">
      <c r="A65">
        <v>7.96214139574066E-2</v>
      </c>
      <c r="B65">
        <v>-0.43026896550527199</v>
      </c>
      <c r="C65">
        <v>0.115</v>
      </c>
      <c r="D65">
        <v>0.19800000000000001</v>
      </c>
      <c r="E65">
        <v>1</v>
      </c>
      <c r="F65" t="s">
        <v>1806</v>
      </c>
      <c r="G65" t="s">
        <v>1807</v>
      </c>
      <c r="H65" t="s">
        <v>1806</v>
      </c>
      <c r="I65" t="str">
        <f>HYPERLINK("https://zfin.org/ZDB-GENE-080403-10")</f>
        <v>https://zfin.org/ZDB-GENE-080403-10</v>
      </c>
      <c r="J65" t="s">
        <v>1805</v>
      </c>
    </row>
    <row r="66" spans="1:10" x14ac:dyDescent="0.2">
      <c r="A66">
        <v>8.0933034859065694E-2</v>
      </c>
      <c r="B66">
        <v>-0.356202241217556</v>
      </c>
      <c r="C66">
        <v>4.2000000000000003E-2</v>
      </c>
      <c r="D66">
        <v>0.105</v>
      </c>
      <c r="E66">
        <v>1</v>
      </c>
      <c r="F66" t="s">
        <v>1803</v>
      </c>
      <c r="G66" t="s">
        <v>1804</v>
      </c>
      <c r="H66" t="s">
        <v>1803</v>
      </c>
      <c r="I66" t="str">
        <f>HYPERLINK("https://zfin.org/ZDB-GENE-050302-102")</f>
        <v>https://zfin.org/ZDB-GENE-050302-102</v>
      </c>
      <c r="J66" t="s">
        <v>1802</v>
      </c>
    </row>
    <row r="67" spans="1:10" x14ac:dyDescent="0.2">
      <c r="A67">
        <v>8.4792556580305503E-2</v>
      </c>
      <c r="B67">
        <v>-0.5325447952522</v>
      </c>
      <c r="C67">
        <v>0.219</v>
      </c>
      <c r="D67">
        <v>0.30199999999999999</v>
      </c>
      <c r="E67">
        <v>1</v>
      </c>
      <c r="F67" t="s">
        <v>1800</v>
      </c>
      <c r="G67" t="s">
        <v>1801</v>
      </c>
      <c r="H67" t="s">
        <v>1800</v>
      </c>
      <c r="I67" t="str">
        <f>HYPERLINK("https://zfin.org/ZDB-GENE-021029-1")</f>
        <v>https://zfin.org/ZDB-GENE-021029-1</v>
      </c>
      <c r="J67" t="s">
        <v>1799</v>
      </c>
    </row>
    <row r="68" spans="1:10" x14ac:dyDescent="0.2">
      <c r="A68">
        <v>8.7221328969825901E-2</v>
      </c>
      <c r="B68">
        <v>-0.38938226700157103</v>
      </c>
      <c r="C68">
        <v>0.115</v>
      </c>
      <c r="D68">
        <v>0.19800000000000001</v>
      </c>
      <c r="E68">
        <v>1</v>
      </c>
      <c r="F68" t="s">
        <v>1797</v>
      </c>
      <c r="G68" t="s">
        <v>1798</v>
      </c>
      <c r="H68" t="s">
        <v>1797</v>
      </c>
      <c r="I68" t="str">
        <f>HYPERLINK("https://zfin.org/ZDB-GENE-051120-114")</f>
        <v>https://zfin.org/ZDB-GENE-051120-114</v>
      </c>
      <c r="J68" t="s">
        <v>1796</v>
      </c>
    </row>
    <row r="69" spans="1:10" x14ac:dyDescent="0.2">
      <c r="A69">
        <v>8.7743048173221302E-2</v>
      </c>
      <c r="B69">
        <v>-0.37996288399865102</v>
      </c>
      <c r="C69">
        <v>4.2000000000000003E-2</v>
      </c>
      <c r="D69">
        <v>0.105</v>
      </c>
      <c r="E69">
        <v>1</v>
      </c>
      <c r="F69" t="s">
        <v>1794</v>
      </c>
      <c r="G69" t="s">
        <v>1795</v>
      </c>
      <c r="H69" t="s">
        <v>1794</v>
      </c>
      <c r="I69" t="str">
        <f>HYPERLINK("https://zfin.org/ZDB-GENE-030131-3200")</f>
        <v>https://zfin.org/ZDB-GENE-030131-3200</v>
      </c>
      <c r="J69" t="s">
        <v>1793</v>
      </c>
    </row>
    <row r="70" spans="1:10" x14ac:dyDescent="0.2">
      <c r="A70">
        <v>8.7876575421000497E-2</v>
      </c>
      <c r="B70">
        <v>-0.47252020935720601</v>
      </c>
      <c r="C70">
        <v>0.104</v>
      </c>
      <c r="D70">
        <v>0.186</v>
      </c>
      <c r="E70">
        <v>1</v>
      </c>
      <c r="F70" t="s">
        <v>1791</v>
      </c>
      <c r="G70" t="s">
        <v>1792</v>
      </c>
      <c r="H70" t="s">
        <v>1791</v>
      </c>
      <c r="I70" t="str">
        <f>HYPERLINK("https://zfin.org/ZDB-GENE-070410-9")</f>
        <v>https://zfin.org/ZDB-GENE-070410-9</v>
      </c>
      <c r="J70" t="s">
        <v>1790</v>
      </c>
    </row>
    <row r="71" spans="1:10" x14ac:dyDescent="0.2">
      <c r="A71">
        <v>8.9162125842499607E-2</v>
      </c>
      <c r="B71">
        <v>-0.38744982815784701</v>
      </c>
      <c r="C71">
        <v>8.3000000000000004E-2</v>
      </c>
      <c r="D71">
        <v>0.16300000000000001</v>
      </c>
      <c r="E71">
        <v>1</v>
      </c>
      <c r="F71" t="s">
        <v>1788</v>
      </c>
      <c r="G71" t="s">
        <v>1789</v>
      </c>
      <c r="H71" t="s">
        <v>1788</v>
      </c>
      <c r="I71" t="str">
        <f>HYPERLINK("https://zfin.org/ZDB-GENE-040724-172")</f>
        <v>https://zfin.org/ZDB-GENE-040724-172</v>
      </c>
      <c r="J71" t="s">
        <v>1787</v>
      </c>
    </row>
    <row r="72" spans="1:10" x14ac:dyDescent="0.2">
      <c r="A72">
        <v>9.0580155193003303E-2</v>
      </c>
      <c r="B72">
        <v>-0.3754047025492</v>
      </c>
      <c r="C72">
        <v>0.19800000000000001</v>
      </c>
      <c r="D72">
        <v>0.29099999999999998</v>
      </c>
      <c r="E72">
        <v>1</v>
      </c>
      <c r="F72" t="s">
        <v>1785</v>
      </c>
      <c r="G72" t="s">
        <v>1786</v>
      </c>
      <c r="H72" t="s">
        <v>1785</v>
      </c>
      <c r="I72" t="str">
        <f>HYPERLINK("https://zfin.org/ZDB-GENE-030131-210")</f>
        <v>https://zfin.org/ZDB-GENE-030131-210</v>
      </c>
      <c r="J72" t="s">
        <v>1784</v>
      </c>
    </row>
    <row r="73" spans="1:10" x14ac:dyDescent="0.2">
      <c r="A73">
        <v>9.2805591183475394E-2</v>
      </c>
      <c r="B73">
        <v>-0.43255903787746902</v>
      </c>
      <c r="C73">
        <v>7.2999999999999995E-2</v>
      </c>
      <c r="D73">
        <v>0.14000000000000001</v>
      </c>
      <c r="E73">
        <v>1</v>
      </c>
      <c r="F73" t="s">
        <v>1782</v>
      </c>
      <c r="G73" t="s">
        <v>1783</v>
      </c>
      <c r="H73" t="s">
        <v>1782</v>
      </c>
      <c r="I73" t="str">
        <f>HYPERLINK("https://zfin.org/ZDB-GENE-040704-13")</f>
        <v>https://zfin.org/ZDB-GENE-040704-13</v>
      </c>
      <c r="J73" t="s">
        <v>1781</v>
      </c>
    </row>
    <row r="74" spans="1:10" x14ac:dyDescent="0.2">
      <c r="A74">
        <v>9.4535336429667993E-2</v>
      </c>
      <c r="B74">
        <v>-0.35801953900830802</v>
      </c>
      <c r="C74">
        <v>6.2E-2</v>
      </c>
      <c r="D74">
        <v>0.128</v>
      </c>
      <c r="E74">
        <v>1</v>
      </c>
      <c r="F74" t="s">
        <v>1779</v>
      </c>
      <c r="G74" t="s">
        <v>1780</v>
      </c>
      <c r="H74" t="s">
        <v>1779</v>
      </c>
      <c r="I74" t="str">
        <f>HYPERLINK("https://zfin.org/ZDB-GENE-030131-419")</f>
        <v>https://zfin.org/ZDB-GENE-030131-419</v>
      </c>
      <c r="J74" t="s">
        <v>1778</v>
      </c>
    </row>
    <row r="75" spans="1:10" x14ac:dyDescent="0.2">
      <c r="A75">
        <v>9.8596945107486095E-2</v>
      </c>
      <c r="B75">
        <v>-0.41500127429655298</v>
      </c>
      <c r="C75">
        <v>5.1999999999999998E-2</v>
      </c>
      <c r="D75">
        <v>0.11600000000000001</v>
      </c>
      <c r="E75">
        <v>1</v>
      </c>
      <c r="F75" t="s">
        <v>1776</v>
      </c>
      <c r="G75" t="s">
        <v>1777</v>
      </c>
      <c r="H75" t="s">
        <v>1776</v>
      </c>
      <c r="I75" t="str">
        <f>HYPERLINK("https://zfin.org/ZDB-GENE-040718-186")</f>
        <v>https://zfin.org/ZDB-GENE-040718-186</v>
      </c>
      <c r="J75" t="s">
        <v>1775</v>
      </c>
    </row>
    <row r="76" spans="1:10" x14ac:dyDescent="0.2">
      <c r="A76">
        <v>9.9808124954594707E-2</v>
      </c>
      <c r="B76">
        <v>-0.313866235037427</v>
      </c>
      <c r="C76">
        <v>5.1999999999999998E-2</v>
      </c>
      <c r="D76">
        <v>0.11600000000000001</v>
      </c>
      <c r="E76">
        <v>1</v>
      </c>
      <c r="F76" t="s">
        <v>1773</v>
      </c>
      <c r="G76" t="s">
        <v>1774</v>
      </c>
      <c r="H76" t="s">
        <v>1773</v>
      </c>
      <c r="I76" t="str">
        <f>HYPERLINK("https://zfin.org/ZDB-GENE-030131-6070")</f>
        <v>https://zfin.org/ZDB-GENE-030131-6070</v>
      </c>
      <c r="J76" t="s">
        <v>1772</v>
      </c>
    </row>
    <row r="77" spans="1:10" x14ac:dyDescent="0.2">
      <c r="A77">
        <v>0.100476549404065</v>
      </c>
      <c r="B77">
        <v>-0.35589403705081701</v>
      </c>
      <c r="C77">
        <v>0.52100000000000002</v>
      </c>
      <c r="D77">
        <v>0.56999999999999995</v>
      </c>
      <c r="E77">
        <v>1</v>
      </c>
      <c r="F77" t="s">
        <v>1770</v>
      </c>
      <c r="G77" t="s">
        <v>1771</v>
      </c>
      <c r="H77" t="s">
        <v>1770</v>
      </c>
      <c r="I77" t="str">
        <f>HYPERLINK("https://zfin.org/ZDB-GENE-030131-7626")</f>
        <v>https://zfin.org/ZDB-GENE-030131-7626</v>
      </c>
      <c r="J77" t="s">
        <v>1769</v>
      </c>
    </row>
    <row r="78" spans="1:10" x14ac:dyDescent="0.2">
      <c r="A78">
        <v>0.100888533139042</v>
      </c>
      <c r="B78">
        <v>-0.28023269217168001</v>
      </c>
      <c r="C78">
        <v>0.312</v>
      </c>
      <c r="D78">
        <v>0.39500000000000002</v>
      </c>
      <c r="E78">
        <v>1</v>
      </c>
      <c r="F78" t="s">
        <v>1767</v>
      </c>
      <c r="G78" t="s">
        <v>1768</v>
      </c>
      <c r="H78" t="s">
        <v>1767</v>
      </c>
      <c r="I78" t="str">
        <f>HYPERLINK("https://zfin.org/ZDB-GENE-010502-1")</f>
        <v>https://zfin.org/ZDB-GENE-010502-1</v>
      </c>
      <c r="J78" t="s">
        <v>1766</v>
      </c>
    </row>
    <row r="79" spans="1:10" x14ac:dyDescent="0.2">
      <c r="A79">
        <v>0.102266068214961</v>
      </c>
      <c r="B79">
        <v>-0.30485613778169501</v>
      </c>
      <c r="C79">
        <v>5.1999999999999998E-2</v>
      </c>
      <c r="D79">
        <v>0.11600000000000001</v>
      </c>
      <c r="E79">
        <v>1</v>
      </c>
      <c r="F79" t="s">
        <v>1764</v>
      </c>
      <c r="G79" t="s">
        <v>1765</v>
      </c>
      <c r="H79" t="s">
        <v>1764</v>
      </c>
      <c r="I79" t="str">
        <f>HYPERLINK("https://zfin.org/ZDB-GENE-990415-9")</f>
        <v>https://zfin.org/ZDB-GENE-990415-9</v>
      </c>
      <c r="J79" t="s">
        <v>1763</v>
      </c>
    </row>
    <row r="80" spans="1:10" x14ac:dyDescent="0.2">
      <c r="A80">
        <v>0.103512976615022</v>
      </c>
      <c r="B80">
        <v>-0.32671883449268102</v>
      </c>
      <c r="C80">
        <v>5.1999999999999998E-2</v>
      </c>
      <c r="D80">
        <v>0.11600000000000001</v>
      </c>
      <c r="E80">
        <v>1</v>
      </c>
      <c r="F80" t="s">
        <v>1761</v>
      </c>
      <c r="G80" t="s">
        <v>1762</v>
      </c>
      <c r="H80" t="s">
        <v>1761</v>
      </c>
      <c r="I80" t="str">
        <f>HYPERLINK("https://zfin.org/ZDB-GENE-991102-15")</f>
        <v>https://zfin.org/ZDB-GENE-991102-15</v>
      </c>
      <c r="J80" t="s">
        <v>1760</v>
      </c>
    </row>
    <row r="81" spans="1:10" x14ac:dyDescent="0.2">
      <c r="A81">
        <v>0.10452677575171999</v>
      </c>
      <c r="B81">
        <v>-0.37439722395611003</v>
      </c>
      <c r="C81">
        <v>9.4E-2</v>
      </c>
      <c r="D81">
        <v>0.16300000000000001</v>
      </c>
      <c r="E81">
        <v>1</v>
      </c>
      <c r="F81" t="s">
        <v>1758</v>
      </c>
      <c r="G81" t="s">
        <v>1759</v>
      </c>
      <c r="H81" t="s">
        <v>1758</v>
      </c>
      <c r="I81" t="str">
        <f>HYPERLINK("https://zfin.org/ZDB-GENE-030131-2165")</f>
        <v>https://zfin.org/ZDB-GENE-030131-2165</v>
      </c>
      <c r="J81" t="s">
        <v>1757</v>
      </c>
    </row>
    <row r="82" spans="1:10" x14ac:dyDescent="0.2">
      <c r="A82">
        <v>0.10557406159374901</v>
      </c>
      <c r="B82">
        <v>-0.385662823330094</v>
      </c>
      <c r="C82">
        <v>9.4E-2</v>
      </c>
      <c r="D82">
        <v>0.16300000000000001</v>
      </c>
      <c r="E82">
        <v>1</v>
      </c>
      <c r="F82" t="s">
        <v>1755</v>
      </c>
      <c r="G82" t="s">
        <v>1756</v>
      </c>
      <c r="H82" t="s">
        <v>1755</v>
      </c>
      <c r="I82" t="str">
        <f>HYPERLINK("https://zfin.org/ZDB-GENE-040625-133")</f>
        <v>https://zfin.org/ZDB-GENE-040625-133</v>
      </c>
      <c r="J82" t="s">
        <v>1754</v>
      </c>
    </row>
    <row r="83" spans="1:10" x14ac:dyDescent="0.2">
      <c r="A83">
        <v>0.106099570051238</v>
      </c>
      <c r="B83">
        <v>-0.351603011753785</v>
      </c>
      <c r="C83">
        <v>0.115</v>
      </c>
      <c r="D83">
        <v>0.19800000000000001</v>
      </c>
      <c r="E83">
        <v>1</v>
      </c>
      <c r="F83" t="s">
        <v>1752</v>
      </c>
      <c r="G83" t="s">
        <v>1753</v>
      </c>
      <c r="H83" t="s">
        <v>1752</v>
      </c>
      <c r="I83" t="str">
        <f>HYPERLINK("https://zfin.org/ZDB-GENE-030219-51")</f>
        <v>https://zfin.org/ZDB-GENE-030219-51</v>
      </c>
      <c r="J83" t="s">
        <v>1751</v>
      </c>
    </row>
    <row r="84" spans="1:10" x14ac:dyDescent="0.2">
      <c r="A84">
        <v>0.10992977329053499</v>
      </c>
      <c r="B84">
        <v>-0.26300179451844602</v>
      </c>
      <c r="C84">
        <v>5.1999999999999998E-2</v>
      </c>
      <c r="D84">
        <v>0.11600000000000001</v>
      </c>
      <c r="E84">
        <v>1</v>
      </c>
      <c r="F84" t="s">
        <v>1749</v>
      </c>
      <c r="G84" t="s">
        <v>1750</v>
      </c>
      <c r="H84" t="s">
        <v>1749</v>
      </c>
      <c r="I84" t="str">
        <f>HYPERLINK("https://zfin.org/ZDB-GENE-100326-1")</f>
        <v>https://zfin.org/ZDB-GENE-100326-1</v>
      </c>
      <c r="J84" t="s">
        <v>1748</v>
      </c>
    </row>
    <row r="85" spans="1:10" x14ac:dyDescent="0.2">
      <c r="A85">
        <v>0.112900688532886</v>
      </c>
      <c r="B85">
        <v>-0.31807135266433001</v>
      </c>
      <c r="C85">
        <v>0.27100000000000002</v>
      </c>
      <c r="D85">
        <v>0.36</v>
      </c>
      <c r="E85">
        <v>1</v>
      </c>
      <c r="F85" t="s">
        <v>1746</v>
      </c>
      <c r="G85" t="s">
        <v>1747</v>
      </c>
      <c r="H85" t="s">
        <v>1746</v>
      </c>
      <c r="I85" t="str">
        <f>HYPERLINK("https://zfin.org/ZDB-GENE-040912-55")</f>
        <v>https://zfin.org/ZDB-GENE-040912-55</v>
      </c>
      <c r="J85" t="s">
        <v>1745</v>
      </c>
    </row>
    <row r="86" spans="1:10" x14ac:dyDescent="0.2">
      <c r="A86">
        <v>0.11737728120499499</v>
      </c>
      <c r="B86">
        <v>-0.30834678659744202</v>
      </c>
      <c r="C86">
        <v>6.2E-2</v>
      </c>
      <c r="D86">
        <v>0.128</v>
      </c>
      <c r="E86">
        <v>1</v>
      </c>
      <c r="F86" t="s">
        <v>1743</v>
      </c>
      <c r="G86" t="s">
        <v>1744</v>
      </c>
      <c r="H86" t="s">
        <v>1743</v>
      </c>
      <c r="I86" t="str">
        <f>HYPERLINK("https://zfin.org/ZDB-GENE-030131-4956")</f>
        <v>https://zfin.org/ZDB-GENE-030131-4956</v>
      </c>
      <c r="J86" t="s">
        <v>1742</v>
      </c>
    </row>
    <row r="87" spans="1:10" x14ac:dyDescent="0.2">
      <c r="A87">
        <v>0.118690155730216</v>
      </c>
      <c r="B87">
        <v>-0.31229656788479798</v>
      </c>
      <c r="C87">
        <v>6.2E-2</v>
      </c>
      <c r="D87">
        <v>0.128</v>
      </c>
      <c r="E87">
        <v>1</v>
      </c>
      <c r="F87" t="s">
        <v>1740</v>
      </c>
      <c r="G87" t="s">
        <v>1741</v>
      </c>
      <c r="H87" t="s">
        <v>1740</v>
      </c>
      <c r="I87" t="str">
        <f>HYPERLINK("https://zfin.org/ZDB-GENE-070705-405")</f>
        <v>https://zfin.org/ZDB-GENE-070705-405</v>
      </c>
      <c r="J87" t="s">
        <v>1739</v>
      </c>
    </row>
    <row r="88" spans="1:10" x14ac:dyDescent="0.2">
      <c r="A88">
        <v>0.120344844219445</v>
      </c>
      <c r="B88">
        <v>-0.32327369605815198</v>
      </c>
      <c r="C88">
        <v>7.2999999999999995E-2</v>
      </c>
      <c r="D88">
        <v>0.14000000000000001</v>
      </c>
      <c r="E88">
        <v>1</v>
      </c>
      <c r="F88" t="s">
        <v>1737</v>
      </c>
      <c r="G88" t="s">
        <v>1738</v>
      </c>
      <c r="H88" t="s">
        <v>1737</v>
      </c>
      <c r="I88" t="str">
        <f>HYPERLINK("https://zfin.org/ZDB-GENE-061103-96")</f>
        <v>https://zfin.org/ZDB-GENE-061103-96</v>
      </c>
      <c r="J88" t="s">
        <v>1736</v>
      </c>
    </row>
    <row r="89" spans="1:10" x14ac:dyDescent="0.2">
      <c r="A89">
        <v>0.120360921072744</v>
      </c>
      <c r="B89">
        <v>-0.39090297089871001</v>
      </c>
      <c r="C89">
        <v>0.17699999999999999</v>
      </c>
      <c r="D89">
        <v>0.25600000000000001</v>
      </c>
      <c r="E89">
        <v>1</v>
      </c>
      <c r="F89" t="s">
        <v>1734</v>
      </c>
      <c r="G89" t="s">
        <v>1735</v>
      </c>
      <c r="H89" t="s">
        <v>1734</v>
      </c>
      <c r="I89" t="str">
        <f>HYPERLINK("https://zfin.org/ZDB-GENE-040625-38")</f>
        <v>https://zfin.org/ZDB-GENE-040625-38</v>
      </c>
      <c r="J89" t="s">
        <v>1733</v>
      </c>
    </row>
    <row r="90" spans="1:10" x14ac:dyDescent="0.2">
      <c r="A90">
        <v>0.121885018533733</v>
      </c>
      <c r="B90">
        <v>-0.372461435710848</v>
      </c>
      <c r="C90">
        <v>8.3000000000000004E-2</v>
      </c>
      <c r="D90">
        <v>0.151</v>
      </c>
      <c r="E90">
        <v>1</v>
      </c>
      <c r="F90" t="s">
        <v>1731</v>
      </c>
      <c r="G90" t="s">
        <v>1732</v>
      </c>
      <c r="H90" t="s">
        <v>1731</v>
      </c>
      <c r="I90" t="str">
        <f>HYPERLINK("https://zfin.org/ZDB-GENE-060810-162")</f>
        <v>https://zfin.org/ZDB-GENE-060810-162</v>
      </c>
      <c r="J90" t="s">
        <v>1730</v>
      </c>
    </row>
    <row r="91" spans="1:10" x14ac:dyDescent="0.2">
      <c r="A91">
        <v>0.126210507444971</v>
      </c>
      <c r="B91">
        <v>-0.47418901860639001</v>
      </c>
      <c r="C91">
        <v>0.115</v>
      </c>
      <c r="D91">
        <v>0.186</v>
      </c>
      <c r="E91">
        <v>1</v>
      </c>
      <c r="F91" t="s">
        <v>1470</v>
      </c>
      <c r="G91" t="s">
        <v>1471</v>
      </c>
      <c r="H91" t="s">
        <v>1470</v>
      </c>
      <c r="I91" t="str">
        <f>HYPERLINK("https://zfin.org/ZDB-GENE-031112-4")</f>
        <v>https://zfin.org/ZDB-GENE-031112-4</v>
      </c>
      <c r="J91" t="s">
        <v>1469</v>
      </c>
    </row>
    <row r="92" spans="1:10" x14ac:dyDescent="0.2">
      <c r="A92">
        <v>0.12831774779395499</v>
      </c>
      <c r="B92">
        <v>-0.36033882627262498</v>
      </c>
      <c r="C92">
        <v>9.4E-2</v>
      </c>
      <c r="D92">
        <v>0.16300000000000001</v>
      </c>
      <c r="E92">
        <v>1</v>
      </c>
      <c r="F92" t="s">
        <v>1728</v>
      </c>
      <c r="G92" t="s">
        <v>1729</v>
      </c>
      <c r="H92" t="s">
        <v>1728</v>
      </c>
      <c r="I92" t="str">
        <f>HYPERLINK("https://zfin.org/ZDB-GENE-070822-16")</f>
        <v>https://zfin.org/ZDB-GENE-070822-16</v>
      </c>
      <c r="J92" t="s">
        <v>1727</v>
      </c>
    </row>
    <row r="93" spans="1:10" x14ac:dyDescent="0.2">
      <c r="A93">
        <v>0.13330687978286801</v>
      </c>
      <c r="B93">
        <v>-0.26266259107109202</v>
      </c>
      <c r="C93">
        <v>8.3000000000000004E-2</v>
      </c>
      <c r="D93">
        <v>0.151</v>
      </c>
      <c r="E93">
        <v>1</v>
      </c>
      <c r="F93" t="s">
        <v>1725</v>
      </c>
      <c r="G93" t="s">
        <v>1726</v>
      </c>
      <c r="H93" t="s">
        <v>1725</v>
      </c>
      <c r="I93" t="str">
        <f>HYPERLINK("https://zfin.org/ZDB-GENE-020122-3")</f>
        <v>https://zfin.org/ZDB-GENE-020122-3</v>
      </c>
      <c r="J93" t="s">
        <v>1724</v>
      </c>
    </row>
    <row r="94" spans="1:10" x14ac:dyDescent="0.2">
      <c r="A94">
        <v>0.13355675945606699</v>
      </c>
      <c r="B94">
        <v>-0.31159853547125999</v>
      </c>
      <c r="C94">
        <v>7.2999999999999995E-2</v>
      </c>
      <c r="D94">
        <v>0.14000000000000001</v>
      </c>
      <c r="E94">
        <v>1</v>
      </c>
      <c r="F94" t="s">
        <v>1722</v>
      </c>
      <c r="G94" t="s">
        <v>1723</v>
      </c>
      <c r="H94" t="s">
        <v>1722</v>
      </c>
      <c r="I94" t="str">
        <f>HYPERLINK("https://zfin.org/ZDB-GENE-030131-6301")</f>
        <v>https://zfin.org/ZDB-GENE-030131-6301</v>
      </c>
      <c r="J94" t="s">
        <v>1721</v>
      </c>
    </row>
    <row r="95" spans="1:10" x14ac:dyDescent="0.2">
      <c r="A95">
        <v>0.133607402847601</v>
      </c>
      <c r="B95">
        <v>-0.33858333457509798</v>
      </c>
      <c r="C95">
        <v>0.104</v>
      </c>
      <c r="D95">
        <v>0.17399999999999999</v>
      </c>
      <c r="E95">
        <v>1</v>
      </c>
      <c r="F95" t="s">
        <v>1719</v>
      </c>
      <c r="G95" t="s">
        <v>1720</v>
      </c>
      <c r="H95" t="s">
        <v>1719</v>
      </c>
      <c r="I95" t="str">
        <f>HYPERLINK("https://zfin.org/ZDB-GENE-040426-2098")</f>
        <v>https://zfin.org/ZDB-GENE-040426-2098</v>
      </c>
      <c r="J95" t="s">
        <v>1718</v>
      </c>
    </row>
    <row r="96" spans="1:10" x14ac:dyDescent="0.2">
      <c r="A96">
        <v>0.13683551575094699</v>
      </c>
      <c r="B96">
        <v>-0.26739091207080101</v>
      </c>
      <c r="C96">
        <v>0.17699999999999999</v>
      </c>
      <c r="D96">
        <v>0.26700000000000002</v>
      </c>
      <c r="E96">
        <v>1</v>
      </c>
      <c r="F96" t="s">
        <v>1716</v>
      </c>
      <c r="G96" t="s">
        <v>1717</v>
      </c>
      <c r="H96" t="s">
        <v>1716</v>
      </c>
      <c r="I96" t="str">
        <f>HYPERLINK("https://zfin.org/ZDB-GENE-030131-3133")</f>
        <v>https://zfin.org/ZDB-GENE-030131-3133</v>
      </c>
      <c r="J96" t="s">
        <v>1715</v>
      </c>
    </row>
    <row r="97" spans="1:10" x14ac:dyDescent="0.2">
      <c r="A97">
        <v>0.14031953705004599</v>
      </c>
      <c r="B97">
        <v>-0.40512039800484101</v>
      </c>
      <c r="C97">
        <v>0.14599999999999999</v>
      </c>
      <c r="D97">
        <v>0.221</v>
      </c>
      <c r="E97">
        <v>1</v>
      </c>
      <c r="F97" t="s">
        <v>1713</v>
      </c>
      <c r="G97" t="s">
        <v>1714</v>
      </c>
      <c r="H97" t="s">
        <v>1713</v>
      </c>
      <c r="I97" t="str">
        <f>HYPERLINK("https://zfin.org/ZDB-GENE-030323-1")</f>
        <v>https://zfin.org/ZDB-GENE-030323-1</v>
      </c>
      <c r="J97" t="s">
        <v>1712</v>
      </c>
    </row>
    <row r="98" spans="1:10" x14ac:dyDescent="0.2">
      <c r="A98">
        <v>0.15203184970653699</v>
      </c>
      <c r="B98">
        <v>-0.284410467881273</v>
      </c>
      <c r="C98">
        <v>0.312</v>
      </c>
      <c r="D98">
        <v>0.39500000000000002</v>
      </c>
      <c r="E98">
        <v>1</v>
      </c>
      <c r="F98" t="s">
        <v>733</v>
      </c>
      <c r="G98" t="s">
        <v>734</v>
      </c>
      <c r="H98" t="s">
        <v>733</v>
      </c>
      <c r="I98" t="str">
        <f>HYPERLINK("https://zfin.org/ZDB-GENE-080723-23")</f>
        <v>https://zfin.org/ZDB-GENE-080723-23</v>
      </c>
      <c r="J98" t="s">
        <v>732</v>
      </c>
    </row>
    <row r="99" spans="1:10" x14ac:dyDescent="0.2">
      <c r="A99">
        <v>0.156320826130669</v>
      </c>
      <c r="B99">
        <v>-0.364919319763437</v>
      </c>
      <c r="C99">
        <v>0.26</v>
      </c>
      <c r="D99">
        <v>0.314</v>
      </c>
      <c r="E99">
        <v>1</v>
      </c>
      <c r="F99" t="s">
        <v>1710</v>
      </c>
      <c r="G99" t="s">
        <v>1711</v>
      </c>
      <c r="H99" t="s">
        <v>1710</v>
      </c>
      <c r="I99" t="str">
        <f>HYPERLINK("https://zfin.org/ZDB-GENE-030131-657")</f>
        <v>https://zfin.org/ZDB-GENE-030131-657</v>
      </c>
      <c r="J99" t="s">
        <v>1709</v>
      </c>
    </row>
    <row r="100" spans="1:10" x14ac:dyDescent="0.2">
      <c r="A100">
        <v>0.15699023709349599</v>
      </c>
      <c r="B100">
        <v>-0.41685251357231701</v>
      </c>
      <c r="C100">
        <v>0.115</v>
      </c>
      <c r="D100">
        <v>0.186</v>
      </c>
      <c r="E100">
        <v>1</v>
      </c>
      <c r="F100" t="s">
        <v>1707</v>
      </c>
      <c r="G100" t="s">
        <v>1708</v>
      </c>
      <c r="H100" t="s">
        <v>1707</v>
      </c>
      <c r="I100" t="str">
        <f>HYPERLINK("https://zfin.org/ZDB-GENE-020111-4")</f>
        <v>https://zfin.org/ZDB-GENE-020111-4</v>
      </c>
      <c r="J100" t="s">
        <v>1706</v>
      </c>
    </row>
    <row r="101" spans="1:10" x14ac:dyDescent="0.2">
      <c r="A101">
        <v>0.158082439504488</v>
      </c>
      <c r="B101">
        <v>-0.35401426397636698</v>
      </c>
      <c r="C101">
        <v>6.2E-2</v>
      </c>
      <c r="D101">
        <v>0.11600000000000001</v>
      </c>
      <c r="E101">
        <v>1</v>
      </c>
      <c r="F101" t="s">
        <v>1704</v>
      </c>
      <c r="G101" t="s">
        <v>1705</v>
      </c>
      <c r="H101" t="s">
        <v>1704</v>
      </c>
      <c r="I101" t="str">
        <f>HYPERLINK("https://zfin.org/ZDB-GENE-030616-153")</f>
        <v>https://zfin.org/ZDB-GENE-030616-153</v>
      </c>
      <c r="J101" t="s">
        <v>1703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README</vt:lpstr>
      <vt:lpstr>node16_vs_node17</vt:lpstr>
      <vt:lpstr>node17_vs_node16</vt:lpstr>
      <vt:lpstr>cluster1_vs_cluster2</vt:lpstr>
      <vt:lpstr>cluster2_vs_cluster1</vt:lpstr>
      <vt:lpstr>node18_vs_node19</vt:lpstr>
      <vt:lpstr>node19_vs_node18</vt:lpstr>
      <vt:lpstr>cluster5_vs_cluster6</vt:lpstr>
      <vt:lpstr>cluster6_vs_cluster5</vt:lpstr>
      <vt:lpstr>node20_vs_node21</vt:lpstr>
      <vt:lpstr>node21_vs_node20</vt:lpstr>
      <vt:lpstr>node22_vs_node23</vt:lpstr>
      <vt:lpstr>node23_vs_node22</vt:lpstr>
      <vt:lpstr>cluster3_vs_cluster4</vt:lpstr>
      <vt:lpstr>cluster4_vs_cluster3</vt:lpstr>
      <vt:lpstr>cluster7_vs_node25</vt:lpstr>
      <vt:lpstr>node25_vs_cluster7</vt:lpstr>
      <vt:lpstr>cluster13_vs_node24</vt:lpstr>
      <vt:lpstr>node24_vs_cluster13</vt:lpstr>
      <vt:lpstr>cluster12_vs_node27</vt:lpstr>
      <vt:lpstr>node27_vs_cluster12</vt:lpstr>
      <vt:lpstr>cluster14_vs_node26</vt:lpstr>
      <vt:lpstr>node26_vs_cluster14</vt:lpstr>
      <vt:lpstr>cluster8_vs_cluster9</vt:lpstr>
      <vt:lpstr>cluster9_vs_cluster8</vt:lpstr>
      <vt:lpstr>cluster10_vs_cluster11</vt:lpstr>
      <vt:lpstr>cluster11_vs_cluster10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Diaz, Daniel</cp:lastModifiedBy>
  <dcterms:created xsi:type="dcterms:W3CDTF">2018-10-09T15:44:12Z</dcterms:created>
  <dcterms:modified xsi:type="dcterms:W3CDTF">2018-11-30T21:29:06Z</dcterms:modified>
</cp:coreProperties>
</file>