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arykleiger/Work/UNLV/MANUSCRIPTS/2018/Hand off model paper/Figure for Paper V5 (eLife)/"/>
    </mc:Choice>
  </mc:AlternateContent>
  <xr:revisionPtr revIDLastSave="0" documentId="8_{44F0F642-1541-D047-927D-6F03C9EBD917}" xr6:coauthVersionLast="36" xr6:coauthVersionMax="36" xr10:uidLastSave="{00000000-0000-0000-0000-000000000000}"/>
  <bookViews>
    <workbookView xWindow="5360" yWindow="460" windowWidth="27680" windowHeight="20540" xr2:uid="{E0F74A66-1728-C148-9517-752A67B6C88C}"/>
  </bookViews>
  <sheets>
    <sheet name="AbsQuant Summary All Cell Lines" sheetId="5" r:id="rId1"/>
    <sheet name="Calculations 293HEK TRex" sheetId="2" r:id="rId2"/>
    <sheet name="Calculations 293T 17" sheetId="1" r:id="rId3"/>
    <sheet name="Calculations MRC5" sheetId="3" r:id="rId4"/>
    <sheet name="Calculations HeLa" sheetId="6" r:id="rId5"/>
    <sheet name="293HEK TRex Peptide_Ratio_Resul" sheetId="8" r:id="rId6"/>
    <sheet name="293T 17 Peptide_Ratio_Results" sheetId="7" r:id="rId7"/>
    <sheet name="MRC5 Peptide_Ratio_Results" sheetId="10" r:id="rId8"/>
    <sheet name="HeLa Peptide_Ratio_Results" sheetId="9" r:id="rId9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5" l="1"/>
  <c r="I18" i="5"/>
  <c r="I19" i="5"/>
  <c r="I20" i="5"/>
  <c r="I21" i="5"/>
  <c r="J4" i="5"/>
  <c r="J17" i="5" s="1"/>
  <c r="J5" i="5"/>
  <c r="J18" i="5" s="1"/>
  <c r="J6" i="5"/>
  <c r="J19" i="5" s="1"/>
  <c r="J7" i="5"/>
  <c r="J20" i="5" s="1"/>
  <c r="J8" i="5"/>
  <c r="J21" i="5" s="1"/>
  <c r="J3" i="5"/>
  <c r="J16" i="5" s="1"/>
  <c r="H4" i="5"/>
  <c r="H17" i="5" s="1"/>
  <c r="H5" i="5"/>
  <c r="H18" i="5" s="1"/>
  <c r="H6" i="5"/>
  <c r="H19" i="5" s="1"/>
  <c r="H7" i="5"/>
  <c r="H20" i="5" s="1"/>
  <c r="H8" i="5"/>
  <c r="H21" i="5" s="1"/>
  <c r="H3" i="5"/>
  <c r="H16" i="5" s="1"/>
  <c r="F4" i="5"/>
  <c r="F17" i="5" s="1"/>
  <c r="F5" i="5"/>
  <c r="F18" i="5" s="1"/>
  <c r="F6" i="5"/>
  <c r="F19" i="5" s="1"/>
  <c r="F7" i="5"/>
  <c r="F20" i="5" s="1"/>
  <c r="F8" i="5"/>
  <c r="F21" i="5" s="1"/>
  <c r="F3" i="5"/>
  <c r="F16" i="5" s="1"/>
  <c r="D4" i="5"/>
  <c r="D17" i="5" s="1"/>
  <c r="D5" i="5"/>
  <c r="D18" i="5" s="1"/>
  <c r="D6" i="5"/>
  <c r="D19" i="5" s="1"/>
  <c r="D7" i="5"/>
  <c r="D20" i="5" s="1"/>
  <c r="D8" i="5"/>
  <c r="D21" i="5" s="1"/>
  <c r="D3" i="5"/>
  <c r="D16" i="5" s="1"/>
  <c r="W4" i="6"/>
  <c r="W5" i="6"/>
  <c r="W6" i="6"/>
  <c r="W7" i="6"/>
  <c r="W8" i="6"/>
  <c r="W3" i="6"/>
  <c r="AE4" i="3"/>
  <c r="AE5" i="3"/>
  <c r="AE6" i="3"/>
  <c r="AE7" i="3"/>
  <c r="AE8" i="3"/>
  <c r="AE3" i="3"/>
  <c r="AE4" i="1"/>
  <c r="AE5" i="1"/>
  <c r="AE6" i="1"/>
  <c r="AE7" i="1"/>
  <c r="AE8" i="1"/>
  <c r="AE3" i="1"/>
  <c r="AM3" i="2"/>
  <c r="AM4" i="2"/>
  <c r="AM5" i="2"/>
  <c r="AM6" i="2"/>
  <c r="AM7" i="2"/>
  <c r="AM8" i="2"/>
  <c r="B4" i="6"/>
  <c r="C4" i="6"/>
  <c r="B5" i="6"/>
  <c r="C5" i="6"/>
  <c r="B6" i="6"/>
  <c r="C6" i="6"/>
  <c r="B7" i="6"/>
  <c r="C7" i="6"/>
  <c r="B8" i="6"/>
  <c r="C8" i="6"/>
  <c r="C3" i="6"/>
  <c r="B3" i="6"/>
  <c r="B4" i="2"/>
  <c r="C4" i="2"/>
  <c r="D4" i="2"/>
  <c r="E4" i="2"/>
  <c r="B5" i="2"/>
  <c r="C5" i="2"/>
  <c r="D5" i="2"/>
  <c r="E5" i="2"/>
  <c r="B6" i="2"/>
  <c r="C6" i="2"/>
  <c r="D6" i="2"/>
  <c r="E6" i="2"/>
  <c r="B7" i="2"/>
  <c r="C7" i="2"/>
  <c r="D7" i="2"/>
  <c r="E7" i="2"/>
  <c r="B8" i="2"/>
  <c r="C8" i="2"/>
  <c r="D8" i="2"/>
  <c r="E8" i="2"/>
  <c r="E3" i="2"/>
  <c r="D3" i="2"/>
  <c r="C3" i="2"/>
  <c r="B3" i="2"/>
  <c r="B4" i="3"/>
  <c r="C4" i="3"/>
  <c r="D4" i="3"/>
  <c r="B5" i="3"/>
  <c r="C5" i="3"/>
  <c r="D5" i="3"/>
  <c r="B6" i="3"/>
  <c r="C6" i="3"/>
  <c r="D6" i="3"/>
  <c r="B7" i="3"/>
  <c r="C7" i="3"/>
  <c r="D7" i="3"/>
  <c r="B8" i="3"/>
  <c r="C8" i="3"/>
  <c r="D8" i="3"/>
  <c r="D3" i="3"/>
  <c r="C3" i="3"/>
  <c r="B3" i="3"/>
  <c r="B4" i="1"/>
  <c r="C4" i="1"/>
  <c r="D4" i="1"/>
  <c r="B5" i="1"/>
  <c r="C5" i="1"/>
  <c r="D5" i="1"/>
  <c r="B6" i="1"/>
  <c r="C6" i="1"/>
  <c r="D6" i="1"/>
  <c r="B7" i="1"/>
  <c r="C7" i="1"/>
  <c r="D7" i="1"/>
  <c r="B8" i="1"/>
  <c r="C8" i="1"/>
  <c r="D8" i="1"/>
  <c r="D3" i="1"/>
  <c r="C3" i="1"/>
  <c r="B3" i="1"/>
  <c r="E4" i="5" l="1"/>
  <c r="E17" i="5" s="1"/>
  <c r="E8" i="5"/>
  <c r="E21" i="5" s="1"/>
  <c r="E3" i="5"/>
  <c r="E16" i="5" s="1"/>
  <c r="H3" i="1"/>
  <c r="B19" i="1"/>
  <c r="B21" i="1" s="1"/>
  <c r="B22" i="1" s="1"/>
  <c r="AA8" i="1"/>
  <c r="J8" i="1"/>
  <c r="M8" i="1" s="1"/>
  <c r="P8" i="1" s="1"/>
  <c r="S8" i="1" s="1"/>
  <c r="V8" i="1" s="1"/>
  <c r="Y8" i="1" s="1"/>
  <c r="I8" i="1"/>
  <c r="L8" i="1" s="1"/>
  <c r="O8" i="1" s="1"/>
  <c r="R8" i="1" s="1"/>
  <c r="H8" i="1"/>
  <c r="K8" i="1" s="1"/>
  <c r="N8" i="1" s="1"/>
  <c r="Q8" i="1" s="1"/>
  <c r="T8" i="1" s="1"/>
  <c r="W8" i="1" s="1"/>
  <c r="AA7" i="1"/>
  <c r="J7" i="1"/>
  <c r="M7" i="1" s="1"/>
  <c r="P7" i="1" s="1"/>
  <c r="S7" i="1" s="1"/>
  <c r="V7" i="1" s="1"/>
  <c r="Y7" i="1" s="1"/>
  <c r="I7" i="1"/>
  <c r="L7" i="1" s="1"/>
  <c r="O7" i="1" s="1"/>
  <c r="R7" i="1" s="1"/>
  <c r="H7" i="1"/>
  <c r="K7" i="1" s="1"/>
  <c r="N7" i="1" s="1"/>
  <c r="Q7" i="1" s="1"/>
  <c r="T7" i="1" s="1"/>
  <c r="W7" i="1" s="1"/>
  <c r="AA6" i="1"/>
  <c r="J6" i="1"/>
  <c r="M6" i="1" s="1"/>
  <c r="P6" i="1" s="1"/>
  <c r="S6" i="1" s="1"/>
  <c r="V6" i="1" s="1"/>
  <c r="Y6" i="1" s="1"/>
  <c r="I6" i="1"/>
  <c r="L6" i="1" s="1"/>
  <c r="O6" i="1" s="1"/>
  <c r="R6" i="1" s="1"/>
  <c r="H6" i="1"/>
  <c r="K6" i="1" s="1"/>
  <c r="N6" i="1" s="1"/>
  <c r="Q6" i="1" s="1"/>
  <c r="T6" i="1" s="1"/>
  <c r="W6" i="1" s="1"/>
  <c r="AA5" i="1"/>
  <c r="E6" i="5" s="1"/>
  <c r="E19" i="5" s="1"/>
  <c r="I5" i="1"/>
  <c r="L5" i="1" s="1"/>
  <c r="O5" i="1" s="1"/>
  <c r="R5" i="1" s="1"/>
  <c r="U5" i="1" s="1"/>
  <c r="X5" i="1" s="1"/>
  <c r="J5" i="1"/>
  <c r="M5" i="1" s="1"/>
  <c r="P5" i="1" s="1"/>
  <c r="S5" i="1" s="1"/>
  <c r="H5" i="1"/>
  <c r="K5" i="1" s="1"/>
  <c r="N5" i="1" s="1"/>
  <c r="Q5" i="1" s="1"/>
  <c r="T5" i="1" s="1"/>
  <c r="W5" i="1" s="1"/>
  <c r="AA4" i="1"/>
  <c r="J4" i="1"/>
  <c r="M4" i="1" s="1"/>
  <c r="P4" i="1" s="1"/>
  <c r="S4" i="1" s="1"/>
  <c r="I4" i="1"/>
  <c r="L4" i="1" s="1"/>
  <c r="O4" i="1" s="1"/>
  <c r="R4" i="1" s="1"/>
  <c r="U4" i="1" s="1"/>
  <c r="X4" i="1" s="1"/>
  <c r="H4" i="1"/>
  <c r="K4" i="1" s="1"/>
  <c r="N4" i="1" s="1"/>
  <c r="Q4" i="1" s="1"/>
  <c r="T4" i="1" s="1"/>
  <c r="W4" i="1" s="1"/>
  <c r="AA3" i="1"/>
  <c r="J3" i="1"/>
  <c r="M3" i="1" s="1"/>
  <c r="P3" i="1" s="1"/>
  <c r="S3" i="1" s="1"/>
  <c r="I3" i="1"/>
  <c r="L3" i="1" s="1"/>
  <c r="O3" i="1" s="1"/>
  <c r="R3" i="1" s="1"/>
  <c r="U3" i="1" s="1"/>
  <c r="X3" i="1" s="1"/>
  <c r="K3" i="1"/>
  <c r="N3" i="1" s="1"/>
  <c r="Q3" i="1" s="1"/>
  <c r="T3" i="1" s="1"/>
  <c r="W3" i="1" s="1"/>
  <c r="AA2" i="1"/>
  <c r="E5" i="5" l="1"/>
  <c r="E18" i="5" s="1"/>
  <c r="E7" i="5"/>
  <c r="E20" i="5" s="1"/>
  <c r="V3" i="1"/>
  <c r="Y3" i="1" s="1"/>
  <c r="V4" i="1"/>
  <c r="Y4" i="1" s="1"/>
  <c r="V5" i="1"/>
  <c r="Y5" i="1" s="1"/>
  <c r="AB5" i="1" s="1"/>
  <c r="U6" i="1"/>
  <c r="X6" i="1" s="1"/>
  <c r="AD6" i="1" s="1"/>
  <c r="AC6" i="1" s="1"/>
  <c r="U7" i="1"/>
  <c r="X7" i="1" s="1"/>
  <c r="U8" i="1"/>
  <c r="X8" i="1" s="1"/>
  <c r="AD4" i="1"/>
  <c r="AC4" i="1" s="1"/>
  <c r="AB4" i="1"/>
  <c r="AD8" i="1"/>
  <c r="AC8" i="1" s="1"/>
  <c r="AB8" i="1"/>
  <c r="AD3" i="1"/>
  <c r="AC3" i="1" s="1"/>
  <c r="AB3" i="1"/>
  <c r="AD7" i="1"/>
  <c r="AC7" i="1" s="1"/>
  <c r="AB7" i="1"/>
  <c r="AB6" i="1" l="1"/>
  <c r="AD5" i="1"/>
  <c r="AC5" i="1" s="1"/>
  <c r="S3" i="6"/>
  <c r="S4" i="6"/>
  <c r="S5" i="6"/>
  <c r="S6" i="6"/>
  <c r="S7" i="6"/>
  <c r="S8" i="6"/>
  <c r="S2" i="6"/>
  <c r="AA3" i="3"/>
  <c r="AA4" i="3"/>
  <c r="AA5" i="3"/>
  <c r="AA6" i="3"/>
  <c r="AA7" i="3"/>
  <c r="AA8" i="3"/>
  <c r="AA2" i="3"/>
  <c r="AI8" i="2"/>
  <c r="AI4" i="2"/>
  <c r="AI5" i="2"/>
  <c r="AI6" i="2"/>
  <c r="AI7" i="2"/>
  <c r="AI2" i="2"/>
  <c r="AI3" i="2"/>
  <c r="D5" i="6"/>
  <c r="F5" i="6" s="1"/>
  <c r="H5" i="6" s="1"/>
  <c r="J5" i="6" s="1"/>
  <c r="L5" i="6" s="1"/>
  <c r="D3" i="6"/>
  <c r="F3" i="6" s="1"/>
  <c r="H3" i="6" s="1"/>
  <c r="J3" i="6" s="1"/>
  <c r="L3" i="6" s="1"/>
  <c r="B19" i="6"/>
  <c r="B16" i="6"/>
  <c r="B21" i="6"/>
  <c r="B22" i="6" s="1"/>
  <c r="E8" i="6"/>
  <c r="G8" i="6" s="1"/>
  <c r="I8" i="6" s="1"/>
  <c r="K8" i="6" s="1"/>
  <c r="M8" i="6" s="1"/>
  <c r="D8" i="6"/>
  <c r="F8" i="6" s="1"/>
  <c r="H8" i="6" s="1"/>
  <c r="J8" i="6" s="1"/>
  <c r="L8" i="6" s="1"/>
  <c r="E7" i="6"/>
  <c r="G7" i="6" s="1"/>
  <c r="I7" i="6" s="1"/>
  <c r="K7" i="6" s="1"/>
  <c r="M7" i="6" s="1"/>
  <c r="D7" i="6"/>
  <c r="F7" i="6" s="1"/>
  <c r="H7" i="6" s="1"/>
  <c r="J7" i="6" s="1"/>
  <c r="L7" i="6" s="1"/>
  <c r="N7" i="6" s="1"/>
  <c r="P7" i="6" s="1"/>
  <c r="E6" i="6"/>
  <c r="G6" i="6" s="1"/>
  <c r="I6" i="6" s="1"/>
  <c r="K6" i="6" s="1"/>
  <c r="M6" i="6" s="1"/>
  <c r="D6" i="6"/>
  <c r="F6" i="6" s="1"/>
  <c r="H6" i="6" s="1"/>
  <c r="J6" i="6" s="1"/>
  <c r="L6" i="6" s="1"/>
  <c r="E5" i="6"/>
  <c r="G5" i="6" s="1"/>
  <c r="I5" i="6" s="1"/>
  <c r="K5" i="6" s="1"/>
  <c r="M5" i="6" s="1"/>
  <c r="E4" i="6"/>
  <c r="G4" i="6" s="1"/>
  <c r="I4" i="6" s="1"/>
  <c r="K4" i="6" s="1"/>
  <c r="M4" i="6" s="1"/>
  <c r="D4" i="6"/>
  <c r="F4" i="6" s="1"/>
  <c r="H4" i="6" s="1"/>
  <c r="J4" i="6" s="1"/>
  <c r="L4" i="6" s="1"/>
  <c r="E3" i="6"/>
  <c r="G3" i="6" s="1"/>
  <c r="I3" i="6" s="1"/>
  <c r="K3" i="6" s="1"/>
  <c r="M3" i="6" s="1"/>
  <c r="G5" i="5" l="1"/>
  <c r="G18" i="5" s="1"/>
  <c r="O5" i="6"/>
  <c r="Q5" i="6" s="1"/>
  <c r="O3" i="6"/>
  <c r="Q3" i="6" s="1"/>
  <c r="N3" i="6"/>
  <c r="P3" i="6" s="1"/>
  <c r="N4" i="6"/>
  <c r="P4" i="6" s="1"/>
  <c r="N5" i="6"/>
  <c r="P5" i="6" s="1"/>
  <c r="O8" i="6"/>
  <c r="Q8" i="6" s="1"/>
  <c r="O6" i="6"/>
  <c r="Q6" i="6" s="1"/>
  <c r="O4" i="6"/>
  <c r="Q4" i="6" s="1"/>
  <c r="N6" i="6"/>
  <c r="P6" i="6" s="1"/>
  <c r="O7" i="6"/>
  <c r="Q7" i="6" s="1"/>
  <c r="V7" i="6" s="1"/>
  <c r="U7" i="6" s="1"/>
  <c r="N8" i="6"/>
  <c r="P8" i="6" s="1"/>
  <c r="C23" i="2"/>
  <c r="D23" i="2"/>
  <c r="E23" i="2"/>
  <c r="B23" i="2"/>
  <c r="I4" i="2"/>
  <c r="M4" i="2" s="1"/>
  <c r="Q4" i="2" s="1"/>
  <c r="I5" i="2"/>
  <c r="M5" i="2" s="1"/>
  <c r="Q5" i="2" s="1"/>
  <c r="I6" i="2"/>
  <c r="M6" i="2" s="1"/>
  <c r="Q6" i="2" s="1"/>
  <c r="U6" i="2" s="1"/>
  <c r="I7" i="2"/>
  <c r="M7" i="2" s="1"/>
  <c r="Q7" i="2" s="1"/>
  <c r="I8" i="2"/>
  <c r="M8" i="2" s="1"/>
  <c r="Q8" i="2" s="1"/>
  <c r="I3" i="2"/>
  <c r="M3" i="2" s="1"/>
  <c r="Q3" i="2" s="1"/>
  <c r="E19" i="2"/>
  <c r="E21" i="2" s="1"/>
  <c r="E22" i="2" s="1"/>
  <c r="D19" i="2"/>
  <c r="D21" i="2" s="1"/>
  <c r="D22" i="2" s="1"/>
  <c r="C19" i="2"/>
  <c r="C21" i="2" s="1"/>
  <c r="C22" i="2" s="1"/>
  <c r="B19" i="2"/>
  <c r="B21" i="2" s="1"/>
  <c r="B22" i="2" s="1"/>
  <c r="E16" i="2"/>
  <c r="D16" i="2"/>
  <c r="C16" i="2"/>
  <c r="B16" i="2"/>
  <c r="H8" i="2"/>
  <c r="L8" i="2" s="1"/>
  <c r="P8" i="2" s="1"/>
  <c r="T8" i="2" s="1"/>
  <c r="G8" i="2"/>
  <c r="K8" i="2" s="1"/>
  <c r="O8" i="2" s="1"/>
  <c r="F8" i="2"/>
  <c r="J8" i="2" s="1"/>
  <c r="N8" i="2" s="1"/>
  <c r="H7" i="2"/>
  <c r="L7" i="2" s="1"/>
  <c r="P7" i="2" s="1"/>
  <c r="T7" i="2" s="1"/>
  <c r="G7" i="2"/>
  <c r="K7" i="2" s="1"/>
  <c r="O7" i="2" s="1"/>
  <c r="S7" i="2" s="1"/>
  <c r="F7" i="2"/>
  <c r="J7" i="2" s="1"/>
  <c r="N7" i="2" s="1"/>
  <c r="H6" i="2"/>
  <c r="L6" i="2" s="1"/>
  <c r="P6" i="2" s="1"/>
  <c r="G6" i="2"/>
  <c r="K6" i="2" s="1"/>
  <c r="O6" i="2" s="1"/>
  <c r="F6" i="2"/>
  <c r="J6" i="2" s="1"/>
  <c r="N6" i="2" s="1"/>
  <c r="H5" i="2"/>
  <c r="L5" i="2" s="1"/>
  <c r="P5" i="2" s="1"/>
  <c r="G5" i="2"/>
  <c r="K5" i="2" s="1"/>
  <c r="O5" i="2" s="1"/>
  <c r="F5" i="2"/>
  <c r="J5" i="2" s="1"/>
  <c r="N5" i="2" s="1"/>
  <c r="R5" i="2" s="1"/>
  <c r="H4" i="2"/>
  <c r="L4" i="2" s="1"/>
  <c r="P4" i="2" s="1"/>
  <c r="T4" i="2" s="1"/>
  <c r="G4" i="2"/>
  <c r="K4" i="2" s="1"/>
  <c r="O4" i="2" s="1"/>
  <c r="F4" i="2"/>
  <c r="H3" i="2"/>
  <c r="L3" i="2" s="1"/>
  <c r="P3" i="2" s="1"/>
  <c r="T3" i="2" s="1"/>
  <c r="G3" i="2"/>
  <c r="K3" i="2" s="1"/>
  <c r="O3" i="2" s="1"/>
  <c r="S3" i="2" s="1"/>
  <c r="F3" i="2"/>
  <c r="J3" i="2" s="1"/>
  <c r="N3" i="2" s="1"/>
  <c r="V4" i="6" l="1"/>
  <c r="U4" i="6" s="1"/>
  <c r="T4" i="6"/>
  <c r="I4" i="5" s="1"/>
  <c r="T5" i="6"/>
  <c r="I5" i="5" s="1"/>
  <c r="V5" i="6"/>
  <c r="U5" i="6" s="1"/>
  <c r="T6" i="6"/>
  <c r="I6" i="5" s="1"/>
  <c r="V6" i="6"/>
  <c r="U6" i="6" s="1"/>
  <c r="V8" i="6"/>
  <c r="U8" i="6" s="1"/>
  <c r="T8" i="6"/>
  <c r="I8" i="5" s="1"/>
  <c r="T7" i="6"/>
  <c r="I7" i="5" s="1"/>
  <c r="T3" i="6"/>
  <c r="I3" i="5" s="1"/>
  <c r="I16" i="5" s="1"/>
  <c r="V3" i="6"/>
  <c r="U3" i="6" s="1"/>
  <c r="J4" i="2"/>
  <c r="N4" i="2" s="1"/>
  <c r="R4" i="2" s="1"/>
  <c r="V4" i="2" s="1"/>
  <c r="Z4" i="2" s="1"/>
  <c r="AD4" i="2" s="1"/>
  <c r="U4" i="2"/>
  <c r="Y4" i="2" s="1"/>
  <c r="AC4" i="2" s="1"/>
  <c r="AG4" i="2" s="1"/>
  <c r="R8" i="2"/>
  <c r="V8" i="2" s="1"/>
  <c r="Z8" i="2" s="1"/>
  <c r="AD8" i="2" s="1"/>
  <c r="R3" i="2"/>
  <c r="R7" i="2"/>
  <c r="R6" i="2"/>
  <c r="U7" i="2"/>
  <c r="Y7" i="2" s="1"/>
  <c r="AC7" i="2" s="1"/>
  <c r="AG7" i="2" s="1"/>
  <c r="S5" i="2"/>
  <c r="W5" i="2" s="1"/>
  <c r="AA5" i="2" s="1"/>
  <c r="AE5" i="2" s="1"/>
  <c r="U8" i="2"/>
  <c r="Y8" i="2" s="1"/>
  <c r="AC8" i="2" s="1"/>
  <c r="AG8" i="2" s="1"/>
  <c r="S6" i="2"/>
  <c r="W6" i="2" s="1"/>
  <c r="S4" i="2"/>
  <c r="W4" i="2" s="1"/>
  <c r="AA4" i="2" s="1"/>
  <c r="AE4" i="2" s="1"/>
  <c r="S8" i="2"/>
  <c r="U3" i="2"/>
  <c r="Y3" i="2" s="1"/>
  <c r="AC3" i="2" s="1"/>
  <c r="AG3" i="2" s="1"/>
  <c r="U5" i="2"/>
  <c r="Y5" i="2" s="1"/>
  <c r="AC5" i="2" s="1"/>
  <c r="AG5" i="2" s="1"/>
  <c r="T6" i="2"/>
  <c r="X6" i="2" s="1"/>
  <c r="AB6" i="2" s="1"/>
  <c r="AF6" i="2" s="1"/>
  <c r="T5" i="2"/>
  <c r="X5" i="2" s="1"/>
  <c r="AB5" i="2" s="1"/>
  <c r="AF5" i="2" s="1"/>
  <c r="X4" i="2"/>
  <c r="AB4" i="2" s="1"/>
  <c r="AF4" i="2" s="1"/>
  <c r="X8" i="2"/>
  <c r="AB8" i="2" s="1"/>
  <c r="AF8" i="2" s="1"/>
  <c r="X7" i="2"/>
  <c r="AB7" i="2" s="1"/>
  <c r="AF7" i="2" s="1"/>
  <c r="Y6" i="2"/>
  <c r="AC6" i="2" s="1"/>
  <c r="AG6" i="2" s="1"/>
  <c r="V6" i="2"/>
  <c r="Z6" i="2" s="1"/>
  <c r="AD6" i="2" s="1"/>
  <c r="W3" i="2"/>
  <c r="AA3" i="2" s="1"/>
  <c r="AE3" i="2" s="1"/>
  <c r="W8" i="2"/>
  <c r="AA8" i="2" s="1"/>
  <c r="AE8" i="2" s="1"/>
  <c r="W7" i="2"/>
  <c r="AA7" i="2" s="1"/>
  <c r="AE7" i="2" s="1"/>
  <c r="V5" i="2"/>
  <c r="Z5" i="2" s="1"/>
  <c r="AD5" i="2" s="1"/>
  <c r="V7" i="2"/>
  <c r="Z7" i="2" s="1"/>
  <c r="AD7" i="2" s="1"/>
  <c r="X3" i="2"/>
  <c r="AB3" i="2" s="1"/>
  <c r="AF3" i="2" s="1"/>
  <c r="V3" i="2"/>
  <c r="Z3" i="2" s="1"/>
  <c r="AD3" i="2" s="1"/>
  <c r="H5" i="3"/>
  <c r="K5" i="3" s="1"/>
  <c r="N5" i="3" s="1"/>
  <c r="Q5" i="3" s="1"/>
  <c r="T5" i="3" s="1"/>
  <c r="W5" i="3" s="1"/>
  <c r="J6" i="3"/>
  <c r="M6" i="3" s="1"/>
  <c r="P6" i="3" s="1"/>
  <c r="S6" i="3" s="1"/>
  <c r="V6" i="3" s="1"/>
  <c r="Y6" i="3" s="1"/>
  <c r="J8" i="3"/>
  <c r="M8" i="3" s="1"/>
  <c r="P8" i="3" s="1"/>
  <c r="S8" i="3" s="1"/>
  <c r="V8" i="3" s="1"/>
  <c r="Y8" i="3" s="1"/>
  <c r="B19" i="3"/>
  <c r="B21" i="3" s="1"/>
  <c r="B22" i="3" s="1"/>
  <c r="B16" i="3"/>
  <c r="G8" i="3"/>
  <c r="F8" i="3"/>
  <c r="I8" i="3" s="1"/>
  <c r="L8" i="3" s="1"/>
  <c r="O8" i="3" s="1"/>
  <c r="R8" i="3" s="1"/>
  <c r="U8" i="3" s="1"/>
  <c r="X8" i="3" s="1"/>
  <c r="E8" i="3"/>
  <c r="H8" i="3" s="1"/>
  <c r="K8" i="3" s="1"/>
  <c r="N8" i="3" s="1"/>
  <c r="Q8" i="3" s="1"/>
  <c r="T8" i="3" s="1"/>
  <c r="W8" i="3" s="1"/>
  <c r="G7" i="3"/>
  <c r="J7" i="3" s="1"/>
  <c r="M7" i="3" s="1"/>
  <c r="P7" i="3" s="1"/>
  <c r="S7" i="3" s="1"/>
  <c r="V7" i="3" s="1"/>
  <c r="Y7" i="3" s="1"/>
  <c r="F7" i="3"/>
  <c r="I7" i="3" s="1"/>
  <c r="L7" i="3" s="1"/>
  <c r="O7" i="3" s="1"/>
  <c r="R7" i="3" s="1"/>
  <c r="U7" i="3" s="1"/>
  <c r="X7" i="3" s="1"/>
  <c r="E7" i="3"/>
  <c r="H7" i="3" s="1"/>
  <c r="K7" i="3" s="1"/>
  <c r="N7" i="3" s="1"/>
  <c r="Q7" i="3" s="1"/>
  <c r="T7" i="3" s="1"/>
  <c r="W7" i="3" s="1"/>
  <c r="G6" i="3"/>
  <c r="F6" i="3"/>
  <c r="I6" i="3" s="1"/>
  <c r="L6" i="3" s="1"/>
  <c r="O6" i="3" s="1"/>
  <c r="R6" i="3" s="1"/>
  <c r="U6" i="3" s="1"/>
  <c r="X6" i="3" s="1"/>
  <c r="E6" i="3"/>
  <c r="H6" i="3" s="1"/>
  <c r="K6" i="3" s="1"/>
  <c r="N6" i="3" s="1"/>
  <c r="Q6" i="3" s="1"/>
  <c r="T6" i="3" s="1"/>
  <c r="W6" i="3" s="1"/>
  <c r="G5" i="3"/>
  <c r="J5" i="3" s="1"/>
  <c r="M5" i="3" s="1"/>
  <c r="P5" i="3" s="1"/>
  <c r="S5" i="3" s="1"/>
  <c r="V5" i="3" s="1"/>
  <c r="Y5" i="3" s="1"/>
  <c r="F5" i="3"/>
  <c r="I5" i="3" s="1"/>
  <c r="L5" i="3" s="1"/>
  <c r="O5" i="3" s="1"/>
  <c r="R5" i="3" s="1"/>
  <c r="U5" i="3" s="1"/>
  <c r="X5" i="3" s="1"/>
  <c r="E5" i="3"/>
  <c r="G4" i="3"/>
  <c r="J4" i="3" s="1"/>
  <c r="M4" i="3" s="1"/>
  <c r="P4" i="3" s="1"/>
  <c r="S4" i="3" s="1"/>
  <c r="V4" i="3" s="1"/>
  <c r="Y4" i="3" s="1"/>
  <c r="F4" i="3"/>
  <c r="I4" i="3" s="1"/>
  <c r="L4" i="3" s="1"/>
  <c r="O4" i="3" s="1"/>
  <c r="R4" i="3" s="1"/>
  <c r="U4" i="3" s="1"/>
  <c r="X4" i="3" s="1"/>
  <c r="E4" i="3"/>
  <c r="H4" i="3" s="1"/>
  <c r="K4" i="3" s="1"/>
  <c r="N4" i="3" s="1"/>
  <c r="Q4" i="3" s="1"/>
  <c r="T4" i="3" s="1"/>
  <c r="W4" i="3" s="1"/>
  <c r="G3" i="3"/>
  <c r="J3" i="3" s="1"/>
  <c r="M3" i="3" s="1"/>
  <c r="P3" i="3" s="1"/>
  <c r="S3" i="3" s="1"/>
  <c r="V3" i="3" s="1"/>
  <c r="Y3" i="3" s="1"/>
  <c r="F3" i="3"/>
  <c r="I3" i="3" s="1"/>
  <c r="L3" i="3" s="1"/>
  <c r="O3" i="3" s="1"/>
  <c r="R3" i="3" s="1"/>
  <c r="U3" i="3" s="1"/>
  <c r="X3" i="3" s="1"/>
  <c r="E3" i="3"/>
  <c r="H3" i="3" s="1"/>
  <c r="K3" i="3" s="1"/>
  <c r="N3" i="3" s="1"/>
  <c r="Q3" i="3" s="1"/>
  <c r="T3" i="3" s="1"/>
  <c r="W3" i="3" s="1"/>
  <c r="AB6" i="3" l="1"/>
  <c r="G6" i="5" s="1"/>
  <c r="G19" i="5" s="1"/>
  <c r="AD6" i="3"/>
  <c r="AC6" i="3" s="1"/>
  <c r="AB5" i="3"/>
  <c r="AD5" i="3"/>
  <c r="AC5" i="3" s="1"/>
  <c r="AD4" i="3"/>
  <c r="AC4" i="3" s="1"/>
  <c r="AB4" i="3"/>
  <c r="G4" i="5" s="1"/>
  <c r="G17" i="5" s="1"/>
  <c r="AB8" i="3"/>
  <c r="G8" i="5" s="1"/>
  <c r="G21" i="5" s="1"/>
  <c r="AD8" i="3"/>
  <c r="AC8" i="3" s="1"/>
  <c r="AB7" i="3"/>
  <c r="G7" i="5" s="1"/>
  <c r="G20" i="5" s="1"/>
  <c r="AD7" i="3"/>
  <c r="AC7" i="3" s="1"/>
  <c r="AB3" i="3"/>
  <c r="G3" i="5" s="1"/>
  <c r="G16" i="5" s="1"/>
  <c r="AD3" i="3"/>
  <c r="AC3" i="3" s="1"/>
  <c r="AJ8" i="2"/>
  <c r="C8" i="5" s="1"/>
  <c r="C21" i="5" s="1"/>
  <c r="AL8" i="2"/>
  <c r="AK8" i="2" s="1"/>
  <c r="AL7" i="2"/>
  <c r="AK7" i="2" s="1"/>
  <c r="AJ7" i="2"/>
  <c r="C7" i="5" s="1"/>
  <c r="C20" i="5" s="1"/>
  <c r="AJ5" i="2"/>
  <c r="C5" i="5" s="1"/>
  <c r="C18" i="5" s="1"/>
  <c r="AL5" i="2"/>
  <c r="AK5" i="2" s="1"/>
  <c r="AJ3" i="2"/>
  <c r="C3" i="5" s="1"/>
  <c r="C16" i="5" s="1"/>
  <c r="AL3" i="2"/>
  <c r="AK3" i="2" s="1"/>
  <c r="AJ4" i="2"/>
  <c r="C4" i="5" s="1"/>
  <c r="C17" i="5" s="1"/>
  <c r="AL4" i="2"/>
  <c r="AK4" i="2" s="1"/>
  <c r="AA6" i="2"/>
  <c r="AE6" i="2" s="1"/>
  <c r="AL6" i="2" l="1"/>
  <c r="AK6" i="2" s="1"/>
  <c r="AJ6" i="2"/>
  <c r="C6" i="5" s="1"/>
  <c r="C19" i="5" s="1"/>
</calcChain>
</file>

<file path=xl/sharedStrings.xml><?xml version="1.0" encoding="utf-8"?>
<sst xmlns="http://schemas.openxmlformats.org/spreadsheetml/2006/main" count="373" uniqueCount="78">
  <si>
    <t>Protein Name</t>
  </si>
  <si>
    <t>UB2R1</t>
  </si>
  <si>
    <t>UB2R2</t>
  </si>
  <si>
    <t>ARIH1</t>
  </si>
  <si>
    <t>Cul1</t>
  </si>
  <si>
    <t>Skp1</t>
  </si>
  <si>
    <t>MRC-5</t>
  </si>
  <si>
    <t>Total cell count (cells/ml)</t>
  </si>
  <si>
    <t>Viable Cell count (cells/ml)</t>
  </si>
  <si>
    <t>Viability (%)</t>
  </si>
  <si>
    <t>Aggregate Rate (%)</t>
  </si>
  <si>
    <t>Avg Diameter (µm)</t>
  </si>
  <si>
    <t>Avg Diameter (m)</t>
  </si>
  <si>
    <t>p (for volume calculations)</t>
  </si>
  <si>
    <t>Avg Cell Volume (m^3)</t>
  </si>
  <si>
    <t>Avg Cell Volume (L)</t>
  </si>
  <si>
    <t>CEDEX HiRes Cell Counter Measurements</t>
  </si>
  <si>
    <t>Rep 1</t>
  </si>
  <si>
    <t>Rep 2</t>
  </si>
  <si>
    <t>Rep 3</t>
  </si>
  <si>
    <t>Protein</t>
  </si>
  <si>
    <t xml:space="preserve">UB2R2 </t>
  </si>
  <si>
    <t>UBE2D</t>
  </si>
  <si>
    <t>Recombinant Protein</t>
  </si>
  <si>
    <t>Stock Conc.</t>
  </si>
  <si>
    <t>nM</t>
  </si>
  <si>
    <t>nM of cellular protein in 500µl lysate</t>
  </si>
  <si>
    <t>nmoles in 500µl</t>
  </si>
  <si>
    <t>nmoles per cell</t>
  </si>
  <si>
    <t>moles per cell</t>
  </si>
  <si>
    <t>Peptide To Standard Ratio - H/L</t>
  </si>
  <si>
    <t>L/H Ratio</t>
  </si>
  <si>
    <t>cellular concentration M</t>
  </si>
  <si>
    <t>cellular concentration nM</t>
  </si>
  <si>
    <t>Rep 4</t>
  </si>
  <si>
    <t>Rep1-3</t>
  </si>
  <si>
    <t>293HEK TRex</t>
  </si>
  <si>
    <t>Concentration in 500 µl lysate</t>
  </si>
  <si>
    <t>Recombinant protein</t>
  </si>
  <si>
    <t>Total cells processed (per 500µl)</t>
  </si>
  <si>
    <t>Rep1-2</t>
  </si>
  <si>
    <t>HeLa</t>
  </si>
  <si>
    <t>AVG</t>
  </si>
  <si>
    <t>STDEV</t>
  </si>
  <si>
    <t>SEM</t>
  </si>
  <si>
    <t>293T/17</t>
  </si>
  <si>
    <t>Concentration (nM)</t>
  </si>
  <si>
    <t>Protein_Name</t>
  </si>
  <si>
    <t>peptides</t>
  </si>
  <si>
    <t>293T_1</t>
  </si>
  <si>
    <t>293T_2</t>
  </si>
  <si>
    <t>293T_3</t>
  </si>
  <si>
    <t>EVNEVIQNPATITR, DISQDSLQDIK</t>
  </si>
  <si>
    <t>AGIQQVYTR, GQTPGGAQFVGLELYK, LLIQAAIVR</t>
  </si>
  <si>
    <t>GLLDVTCK, NDFTEEEEAQVR</t>
  </si>
  <si>
    <t>ALLLELK</t>
  </si>
  <si>
    <t>SLQEEPVEGFR</t>
  </si>
  <si>
    <t>IYHPNINSNGSICLDILR</t>
  </si>
  <si>
    <t>293TRex_1</t>
  </si>
  <si>
    <t>293TRex_2</t>
  </si>
  <si>
    <t>293TRex_3</t>
  </si>
  <si>
    <t>293TRex_4</t>
  </si>
  <si>
    <t>AGIQQVYTR, LLIQAAIVR, FYTQQWEDYR</t>
  </si>
  <si>
    <t>ALLLELK, GLQEEPVEGFR</t>
  </si>
  <si>
    <t>SLQEEPVEGFR, FPIDYPYSPPTFR</t>
  </si>
  <si>
    <t>GLLDVTCK, LQSSDGEIFEVDVEIAK, NDFTEEEEAQVR</t>
  </si>
  <si>
    <t>AGIQQVYTR, GQTPGGAQFVGLELYK, LLIQAAIVR, FYTQQWEDYR</t>
  </si>
  <si>
    <t>Hela_2</t>
  </si>
  <si>
    <t>Hela_1</t>
  </si>
  <si>
    <t>MRC5_1</t>
  </si>
  <si>
    <t>MRC5_2</t>
  </si>
  <si>
    <t>MRC5_3</t>
  </si>
  <si>
    <t>DISQDSLQDIK</t>
  </si>
  <si>
    <t>95% CI</t>
  </si>
  <si>
    <t>Significant digits of error measurement</t>
  </si>
  <si>
    <t>Last digit reported based on one digit uncertainty estimate</t>
  </si>
  <si>
    <r>
      <t xml:space="preserve">Reported Table: Uncertainty estimate SEM was rounded to 1 significant digit. Subsequently, the mean of the calculated concentrations was rounded so that the last reported digit is in the same place as the one digit uncertainty estimate SEM.  </t>
    </r>
    <r>
      <rPr>
        <i/>
        <sz val="12"/>
        <color theme="1"/>
        <rFont val="Arial"/>
        <family val="2"/>
      </rPr>
      <t>Ref.:  http://book.bionumbers.org/rigorous-rules-for-sloppy-calculations</t>
    </r>
  </si>
  <si>
    <t>UBE2D1-4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</si>
</sst>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00"/>
    <numFmt numFmtId="166" formatCode="0.00000000"/>
    <numFmt numFmtId="167" formatCode="\±\ 0;\±\ 0;0"/>
  </numFmts>
  <fonts count="1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Arial"/>
      <family val="2"/>
    </font>
    <font>
      <sz val="16"/>
      <color rgb="FF000000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i/>
      <sz val="16"/>
      <color theme="1"/>
      <name val="Arial"/>
      <family val="2"/>
    </font>
    <font>
      <sz val="18"/>
      <color theme="1"/>
      <name val="Arial"/>
      <family val="2"/>
    </font>
    <font>
      <sz val="14"/>
      <color theme="1"/>
      <name val="Arial"/>
      <family val="2"/>
    </font>
    <font>
      <b/>
      <strike/>
      <u/>
      <sz val="12"/>
      <color theme="1"/>
      <name val="Calibri"/>
      <family val="2"/>
      <scheme val="minor"/>
    </font>
    <font>
      <i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162">
    <xf numFmtId="0" fontId="0" fillId="0" borderId="0" xfId="0"/>
    <xf numFmtId="0" fontId="3" fillId="0" borderId="0" xfId="0" applyFont="1"/>
    <xf numFmtId="0" fontId="4" fillId="0" borderId="0" xfId="0" applyFont="1"/>
    <xf numFmtId="0" fontId="7" fillId="0" borderId="3" xfId="2" applyFont="1" applyBorder="1" applyAlignment="1">
      <alignment vertical="center" wrapText="1"/>
    </xf>
    <xf numFmtId="0" fontId="5" fillId="0" borderId="4" xfId="2" applyBorder="1" applyAlignment="1">
      <alignment horizontal="center" vertical="center" wrapText="1"/>
    </xf>
    <xf numFmtId="0" fontId="5" fillId="0" borderId="4" xfId="2" applyBorder="1" applyAlignment="1">
      <alignment horizontal="center" vertical="center"/>
    </xf>
    <xf numFmtId="9" fontId="5" fillId="0" borderId="4" xfId="1" applyFont="1" applyBorder="1" applyAlignment="1">
      <alignment horizontal="center" vertical="center" wrapText="1"/>
    </xf>
    <xf numFmtId="9" fontId="5" fillId="0" borderId="4" xfId="1" applyFont="1" applyBorder="1" applyAlignment="1">
      <alignment horizontal="center" vertical="center"/>
    </xf>
    <xf numFmtId="0" fontId="5" fillId="0" borderId="6" xfId="2" applyBorder="1" applyAlignment="1">
      <alignment horizontal="center" vertical="center"/>
    </xf>
    <xf numFmtId="0" fontId="7" fillId="0" borderId="0" xfId="2" applyFont="1" applyFill="1" applyBorder="1" applyAlignment="1">
      <alignment vertical="center" wrapText="1"/>
    </xf>
    <xf numFmtId="0" fontId="5" fillId="0" borderId="0" xfId="2" applyFill="1" applyBorder="1" applyAlignment="1">
      <alignment horizontal="center" vertical="center" wrapText="1"/>
    </xf>
    <xf numFmtId="0" fontId="7" fillId="0" borderId="4" xfId="2" applyFont="1" applyFill="1" applyBorder="1" applyAlignment="1">
      <alignment vertical="center" wrapText="1"/>
    </xf>
    <xf numFmtId="0" fontId="5" fillId="2" borderId="4" xfId="2" applyFill="1" applyBorder="1" applyAlignment="1">
      <alignment horizontal="center" vertical="center"/>
    </xf>
    <xf numFmtId="0" fontId="7" fillId="2" borderId="3" xfId="2" applyFont="1" applyFill="1" applyBorder="1" applyAlignment="1">
      <alignment vertical="center" wrapText="1"/>
    </xf>
    <xf numFmtId="0" fontId="6" fillId="0" borderId="0" xfId="2" applyFont="1" applyBorder="1"/>
    <xf numFmtId="0" fontId="5" fillId="0" borderId="0" xfId="2" applyBorder="1" applyAlignment="1">
      <alignment horizontal="center" vertical="center"/>
    </xf>
    <xf numFmtId="9" fontId="5" fillId="0" borderId="0" xfId="1" applyFont="1" applyBorder="1" applyAlignment="1">
      <alignment horizontal="center" vertical="center" wrapText="1"/>
    </xf>
    <xf numFmtId="9" fontId="5" fillId="0" borderId="0" xfId="1" applyFont="1" applyBorder="1" applyAlignment="1">
      <alignment horizontal="center" vertical="center"/>
    </xf>
    <xf numFmtId="0" fontId="6" fillId="0" borderId="4" xfId="2" applyFont="1" applyBorder="1" applyAlignment="1">
      <alignment vertical="center"/>
    </xf>
    <xf numFmtId="0" fontId="7" fillId="2" borderId="4" xfId="2" applyFont="1" applyFill="1" applyBorder="1" applyAlignment="1">
      <alignment vertical="center" wrapText="1"/>
    </xf>
    <xf numFmtId="0" fontId="7" fillId="0" borderId="4" xfId="2" applyFont="1" applyBorder="1" applyAlignment="1">
      <alignment vertical="center" wrapText="1"/>
    </xf>
    <xf numFmtId="0" fontId="7" fillId="0" borderId="4" xfId="2" applyFont="1" applyBorder="1" applyAlignment="1">
      <alignment vertical="center"/>
    </xf>
    <xf numFmtId="0" fontId="5" fillId="0" borderId="4" xfId="2" applyFill="1" applyBorder="1" applyAlignment="1">
      <alignment horizontal="center" vertical="center" wrapText="1"/>
    </xf>
    <xf numFmtId="0" fontId="7" fillId="2" borderId="4" xfId="2" applyFont="1" applyFill="1" applyBorder="1" applyAlignment="1">
      <alignment vertical="center"/>
    </xf>
    <xf numFmtId="0" fontId="5" fillId="0" borderId="0" xfId="2" applyAlignment="1">
      <alignment horizontal="center"/>
    </xf>
    <xf numFmtId="164" fontId="4" fillId="0" borderId="0" xfId="0" applyNumberFormat="1" applyFont="1"/>
    <xf numFmtId="0" fontId="4" fillId="0" borderId="4" xfId="0" applyFont="1" applyBorder="1"/>
    <xf numFmtId="0" fontId="4" fillId="0" borderId="3" xfId="0" applyFont="1" applyBorder="1"/>
    <xf numFmtId="0" fontId="4" fillId="0" borderId="5" xfId="0" applyFont="1" applyBorder="1"/>
    <xf numFmtId="0" fontId="6" fillId="0" borderId="1" xfId="2" applyFont="1" applyBorder="1" applyAlignment="1">
      <alignment vertical="center"/>
    </xf>
    <xf numFmtId="0" fontId="6" fillId="0" borderId="8" xfId="2" applyFont="1" applyBorder="1" applyAlignment="1">
      <alignment vertical="center"/>
    </xf>
    <xf numFmtId="0" fontId="5" fillId="2" borderId="9" xfId="2" applyFill="1" applyBorder="1" applyAlignment="1">
      <alignment horizontal="center" vertical="center" wrapText="1"/>
    </xf>
    <xf numFmtId="0" fontId="5" fillId="0" borderId="9" xfId="2" applyBorder="1" applyAlignment="1">
      <alignment horizontal="center" vertical="center" wrapText="1"/>
    </xf>
    <xf numFmtId="9" fontId="5" fillId="0" borderId="9" xfId="1" applyFont="1" applyBorder="1" applyAlignment="1">
      <alignment horizontal="center" vertical="center" wrapText="1"/>
    </xf>
    <xf numFmtId="0" fontId="7" fillId="0" borderId="3" xfId="2" applyFont="1" applyBorder="1" applyAlignment="1">
      <alignment vertical="center"/>
    </xf>
    <xf numFmtId="0" fontId="5" fillId="0" borderId="9" xfId="2" applyBorder="1" applyAlignment="1">
      <alignment horizontal="center" vertical="center"/>
    </xf>
    <xf numFmtId="0" fontId="7" fillId="0" borderId="3" xfId="2" applyFont="1" applyFill="1" applyBorder="1" applyAlignment="1">
      <alignment vertical="center" wrapText="1"/>
    </xf>
    <xf numFmtId="0" fontId="5" fillId="0" borderId="9" xfId="2" applyFill="1" applyBorder="1" applyAlignment="1">
      <alignment horizontal="center" vertical="center" wrapText="1"/>
    </xf>
    <xf numFmtId="0" fontId="7" fillId="2" borderId="5" xfId="2" applyFont="1" applyFill="1" applyBorder="1" applyAlignment="1">
      <alignment vertical="center"/>
    </xf>
    <xf numFmtId="0" fontId="5" fillId="2" borderId="10" xfId="2" applyFill="1" applyBorder="1" applyAlignment="1">
      <alignment horizontal="center" vertical="center"/>
    </xf>
    <xf numFmtId="0" fontId="3" fillId="0" borderId="0" xfId="0" applyFont="1" applyBorder="1"/>
    <xf numFmtId="0" fontId="0" fillId="0" borderId="0" xfId="0" applyBorder="1"/>
    <xf numFmtId="0" fontId="4" fillId="0" borderId="0" xfId="0" applyFont="1" applyBorder="1"/>
    <xf numFmtId="0" fontId="3" fillId="0" borderId="22" xfId="0" applyFont="1" applyBorder="1"/>
    <xf numFmtId="0" fontId="3" fillId="0" borderId="23" xfId="0" applyFont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7" xfId="0" applyBorder="1"/>
    <xf numFmtId="0" fontId="0" fillId="0" borderId="25" xfId="0" applyBorder="1"/>
    <xf numFmtId="0" fontId="4" fillId="0" borderId="23" xfId="0" applyFont="1" applyBorder="1"/>
    <xf numFmtId="0" fontId="4" fillId="0" borderId="7" xfId="0" applyFont="1" applyBorder="1"/>
    <xf numFmtId="0" fontId="4" fillId="0" borderId="25" xfId="0" applyFont="1" applyBorder="1"/>
    <xf numFmtId="9" fontId="5" fillId="0" borderId="9" xfId="1" applyFont="1" applyBorder="1" applyAlignment="1">
      <alignment horizontal="center" vertical="center"/>
    </xf>
    <xf numFmtId="0" fontId="0" fillId="0" borderId="4" xfId="0" applyBorder="1"/>
    <xf numFmtId="0" fontId="5" fillId="2" borderId="6" xfId="2" applyFill="1" applyBorder="1" applyAlignment="1">
      <alignment horizontal="center" vertical="center"/>
    </xf>
    <xf numFmtId="0" fontId="3" fillId="0" borderId="0" xfId="0" applyFont="1" applyFill="1" applyBorder="1"/>
    <xf numFmtId="0" fontId="2" fillId="0" borderId="0" xfId="0" applyFont="1" applyBorder="1" applyAlignment="1">
      <alignment horizontal="center"/>
    </xf>
    <xf numFmtId="0" fontId="3" fillId="0" borderId="2" xfId="0" applyFont="1" applyBorder="1"/>
    <xf numFmtId="0" fontId="3" fillId="0" borderId="8" xfId="0" applyFont="1" applyBorder="1"/>
    <xf numFmtId="0" fontId="7" fillId="2" borderId="3" xfId="2" applyFont="1" applyFill="1" applyBorder="1" applyAlignment="1">
      <alignment vertical="center"/>
    </xf>
    <xf numFmtId="0" fontId="5" fillId="2" borderId="9" xfId="2" applyFill="1" applyBorder="1" applyAlignment="1">
      <alignment horizontal="center" vertical="center"/>
    </xf>
    <xf numFmtId="0" fontId="7" fillId="2" borderId="5" xfId="2" applyFont="1" applyFill="1" applyBorder="1" applyAlignment="1">
      <alignment vertical="center" wrapText="1"/>
    </xf>
    <xf numFmtId="0" fontId="0" fillId="3" borderId="11" xfId="0" applyFont="1" applyFill="1" applyBorder="1"/>
    <xf numFmtId="0" fontId="0" fillId="3" borderId="12" xfId="0" applyFont="1" applyFill="1" applyBorder="1"/>
    <xf numFmtId="0" fontId="0" fillId="3" borderId="13" xfId="0" applyFont="1" applyFill="1" applyBorder="1"/>
    <xf numFmtId="0" fontId="0" fillId="3" borderId="14" xfId="0" applyFont="1" applyFill="1" applyBorder="1"/>
    <xf numFmtId="0" fontId="0" fillId="3" borderId="16" xfId="0" applyFont="1" applyFill="1" applyBorder="1"/>
    <xf numFmtId="0" fontId="0" fillId="3" borderId="11" xfId="0" applyFill="1" applyBorder="1"/>
    <xf numFmtId="0" fontId="3" fillId="3" borderId="12" xfId="0" applyFont="1" applyFill="1" applyBorder="1"/>
    <xf numFmtId="0" fontId="3" fillId="3" borderId="13" xfId="0" applyFont="1" applyFill="1" applyBorder="1"/>
    <xf numFmtId="0" fontId="0" fillId="3" borderId="14" xfId="0" applyFill="1" applyBorder="1"/>
    <xf numFmtId="0" fontId="0" fillId="3" borderId="16" xfId="0" applyFill="1" applyBorder="1"/>
    <xf numFmtId="0" fontId="0" fillId="3" borderId="13" xfId="0" applyFill="1" applyBorder="1"/>
    <xf numFmtId="1" fontId="0" fillId="3" borderId="0" xfId="0" applyNumberFormat="1" applyFill="1" applyBorder="1"/>
    <xf numFmtId="1" fontId="0" fillId="3" borderId="15" xfId="0" applyNumberFormat="1" applyFill="1" applyBorder="1"/>
    <xf numFmtId="1" fontId="0" fillId="3" borderId="17" xfId="0" applyNumberFormat="1" applyFill="1" applyBorder="1"/>
    <xf numFmtId="1" fontId="0" fillId="3" borderId="18" xfId="0" applyNumberFormat="1" applyFill="1" applyBorder="1"/>
    <xf numFmtId="1" fontId="0" fillId="3" borderId="0" xfId="0" applyNumberFormat="1" applyFont="1" applyFill="1" applyBorder="1"/>
    <xf numFmtId="1" fontId="0" fillId="3" borderId="17" xfId="0" applyNumberFormat="1" applyFont="1" applyFill="1" applyBorder="1"/>
    <xf numFmtId="0" fontId="0" fillId="0" borderId="4" xfId="0" applyFill="1" applyBorder="1"/>
    <xf numFmtId="0" fontId="0" fillId="2" borderId="4" xfId="0" applyFill="1" applyBorder="1"/>
    <xf numFmtId="0" fontId="3" fillId="0" borderId="23" xfId="0" applyFont="1" applyFill="1" applyBorder="1"/>
    <xf numFmtId="0" fontId="0" fillId="0" borderId="26" xfId="0" applyBorder="1"/>
    <xf numFmtId="0" fontId="3" fillId="0" borderId="27" xfId="0" applyFont="1" applyBorder="1"/>
    <xf numFmtId="0" fontId="3" fillId="0" borderId="28" xfId="0" applyFont="1" applyBorder="1"/>
    <xf numFmtId="0" fontId="3" fillId="2" borderId="22" xfId="0" applyFont="1" applyFill="1" applyBorder="1"/>
    <xf numFmtId="0" fontId="3" fillId="2" borderId="0" xfId="0" applyFont="1" applyFill="1" applyBorder="1"/>
    <xf numFmtId="0" fontId="3" fillId="2" borderId="23" xfId="0" applyFont="1" applyFill="1" applyBorder="1"/>
    <xf numFmtId="0" fontId="3" fillId="2" borderId="24" xfId="0" applyFont="1" applyFill="1" applyBorder="1"/>
    <xf numFmtId="0" fontId="3" fillId="2" borderId="7" xfId="0" applyFont="1" applyFill="1" applyBorder="1"/>
    <xf numFmtId="0" fontId="3" fillId="2" borderId="25" xfId="0" applyFont="1" applyFill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165" fontId="4" fillId="2" borderId="22" xfId="0" applyNumberFormat="1" applyFont="1" applyFill="1" applyBorder="1"/>
    <xf numFmtId="165" fontId="4" fillId="2" borderId="0" xfId="0" applyNumberFormat="1" applyFont="1" applyFill="1" applyBorder="1"/>
    <xf numFmtId="165" fontId="4" fillId="2" borderId="23" xfId="0" applyNumberFormat="1" applyFont="1" applyFill="1" applyBorder="1"/>
    <xf numFmtId="165" fontId="4" fillId="2" borderId="24" xfId="0" applyNumberFormat="1" applyFont="1" applyFill="1" applyBorder="1"/>
    <xf numFmtId="165" fontId="4" fillId="2" borderId="7" xfId="0" applyNumberFormat="1" applyFont="1" applyFill="1" applyBorder="1"/>
    <xf numFmtId="165" fontId="4" fillId="2" borderId="25" xfId="0" applyNumberFormat="1" applyFont="1" applyFill="1" applyBorder="1"/>
    <xf numFmtId="166" fontId="3" fillId="2" borderId="22" xfId="0" applyNumberFormat="1" applyFont="1" applyFill="1" applyBorder="1"/>
    <xf numFmtId="166" fontId="3" fillId="2" borderId="23" xfId="0" applyNumberFormat="1" applyFont="1" applyFill="1" applyBorder="1"/>
    <xf numFmtId="166" fontId="3" fillId="2" borderId="24" xfId="0" applyNumberFormat="1" applyFont="1" applyFill="1" applyBorder="1"/>
    <xf numFmtId="166" fontId="3" fillId="2" borderId="25" xfId="0" applyNumberFormat="1" applyFont="1" applyFill="1" applyBorder="1"/>
    <xf numFmtId="0" fontId="8" fillId="2" borderId="4" xfId="0" applyFont="1" applyFill="1" applyBorder="1" applyAlignment="1">
      <alignment horizontal="center"/>
    </xf>
    <xf numFmtId="1" fontId="8" fillId="2" borderId="4" xfId="0" applyNumberFormat="1" applyFont="1" applyFill="1" applyBorder="1" applyAlignment="1">
      <alignment horizontal="center"/>
    </xf>
    <xf numFmtId="1" fontId="0" fillId="0" borderId="0" xfId="0" applyNumberFormat="1"/>
    <xf numFmtId="0" fontId="11" fillId="0" borderId="0" xfId="0" applyFont="1"/>
    <xf numFmtId="0" fontId="0" fillId="3" borderId="12" xfId="0" applyFill="1" applyBorder="1"/>
    <xf numFmtId="0" fontId="14" fillId="0" borderId="14" xfId="0" applyFont="1" applyBorder="1"/>
    <xf numFmtId="0" fontId="14" fillId="0" borderId="0" xfId="0" applyFont="1" applyBorder="1"/>
    <xf numFmtId="0" fontId="14" fillId="0" borderId="15" xfId="0" applyFont="1" applyBorder="1"/>
    <xf numFmtId="0" fontId="14" fillId="0" borderId="16" xfId="0" applyFont="1" applyBorder="1"/>
    <xf numFmtId="0" fontId="14" fillId="0" borderId="17" xfId="0" applyFont="1" applyBorder="1"/>
    <xf numFmtId="0" fontId="14" fillId="0" borderId="18" xfId="0" applyFont="1" applyBorder="1"/>
    <xf numFmtId="0" fontId="14" fillId="0" borderId="29" xfId="0" applyFont="1" applyBorder="1" applyAlignment="1">
      <alignment wrapText="1"/>
    </xf>
    <xf numFmtId="0" fontId="14" fillId="0" borderId="30" xfId="0" applyFont="1" applyBorder="1"/>
    <xf numFmtId="0" fontId="12" fillId="0" borderId="0" xfId="0" applyFont="1" applyAlignment="1">
      <alignment horizontal="center" vertical="center" wrapText="1"/>
    </xf>
    <xf numFmtId="0" fontId="15" fillId="0" borderId="0" xfId="0" applyFont="1"/>
    <xf numFmtId="0" fontId="8" fillId="4" borderId="4" xfId="0" applyFont="1" applyFill="1" applyBorder="1" applyAlignment="1">
      <alignment horizontal="center" vertical="center"/>
    </xf>
    <xf numFmtId="1" fontId="13" fillId="4" borderId="4" xfId="0" applyNumberFormat="1" applyFont="1" applyFill="1" applyBorder="1" applyAlignment="1">
      <alignment horizontal="center" vertical="center"/>
    </xf>
    <xf numFmtId="167" fontId="8" fillId="4" borderId="4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167" fontId="8" fillId="4" borderId="9" xfId="0" applyNumberFormat="1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1" fontId="13" fillId="4" borderId="6" xfId="0" applyNumberFormat="1" applyFont="1" applyFill="1" applyBorder="1" applyAlignment="1">
      <alignment horizontal="center" vertical="center"/>
    </xf>
    <xf numFmtId="167" fontId="8" fillId="4" borderId="6" xfId="0" applyNumberFormat="1" applyFont="1" applyFill="1" applyBorder="1" applyAlignment="1">
      <alignment horizontal="center" vertical="center"/>
    </xf>
    <xf numFmtId="167" fontId="8" fillId="4" borderId="10" xfId="0" applyNumberFormat="1" applyFont="1" applyFill="1" applyBorder="1" applyAlignment="1">
      <alignment horizontal="center" vertical="center"/>
    </xf>
    <xf numFmtId="0" fontId="8" fillId="2" borderId="1" xfId="0" applyFont="1" applyFill="1" applyBorder="1"/>
    <xf numFmtId="0" fontId="9" fillId="2" borderId="3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vertical="center"/>
    </xf>
    <xf numFmtId="1" fontId="8" fillId="2" borderId="9" xfId="0" applyNumberFormat="1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 vertical="center"/>
    </xf>
    <xf numFmtId="1" fontId="8" fillId="2" borderId="6" xfId="0" applyNumberFormat="1" applyFont="1" applyFill="1" applyBorder="1" applyAlignment="1">
      <alignment horizontal="center"/>
    </xf>
    <xf numFmtId="1" fontId="8" fillId="2" borderId="10" xfId="0" applyNumberFormat="1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17" xfId="2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4" xfId="2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0" xfId="2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2" xfId="2" applyBorder="1" applyAlignment="1">
      <alignment horizontal="center" vertical="center"/>
    </xf>
    <xf numFmtId="0" fontId="5" fillId="0" borderId="8" xfId="2" applyBorder="1" applyAlignment="1">
      <alignment horizontal="center" vertical="center"/>
    </xf>
    <xf numFmtId="0" fontId="4" fillId="0" borderId="9" xfId="0" applyFont="1" applyBorder="1" applyAlignment="1">
      <alignment horizontal="center"/>
    </xf>
  </cellXfs>
  <cellStyles count="3">
    <cellStyle name="Normal" xfId="0" builtinId="0"/>
    <cellStyle name="Normal 2" xfId="2" xr:uid="{95255D06-8E2B-CD46-994A-96C7E0FFE528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729F0-105B-1140-BD7D-8A96E495758C}">
  <dimension ref="A1:Q30"/>
  <sheetViews>
    <sheetView tabSelected="1" workbookViewId="0">
      <selection activeCell="C28" sqref="C28"/>
    </sheetView>
  </sheetViews>
  <sheetFormatPr baseColWidth="10" defaultRowHeight="16" x14ac:dyDescent="0.2"/>
  <cols>
    <col min="2" max="2" width="20" customWidth="1"/>
    <col min="3" max="3" width="25" customWidth="1"/>
    <col min="4" max="4" width="15.83203125" bestFit="1" customWidth="1"/>
    <col min="5" max="5" width="25.33203125" customWidth="1"/>
    <col min="6" max="6" width="15.83203125" bestFit="1" customWidth="1"/>
    <col min="7" max="7" width="25.1640625" customWidth="1"/>
    <col min="8" max="8" width="14.6640625" bestFit="1" customWidth="1"/>
    <col min="9" max="9" width="24" customWidth="1"/>
    <col min="10" max="10" width="15.83203125" bestFit="1" customWidth="1"/>
    <col min="12" max="12" width="16.5" customWidth="1"/>
    <col min="17" max="17" width="22.6640625" customWidth="1"/>
  </cols>
  <sheetData>
    <row r="1" spans="1:17" ht="48" customHeight="1" x14ac:dyDescent="0.2">
      <c r="B1" s="131"/>
      <c r="C1" s="144" t="s">
        <v>36</v>
      </c>
      <c r="D1" s="144"/>
      <c r="E1" s="144" t="s">
        <v>45</v>
      </c>
      <c r="F1" s="144"/>
      <c r="G1" s="144" t="s">
        <v>6</v>
      </c>
      <c r="H1" s="144"/>
      <c r="I1" s="144" t="s">
        <v>41</v>
      </c>
      <c r="J1" s="145"/>
    </row>
    <row r="2" spans="1:17" ht="34" customHeight="1" x14ac:dyDescent="0.2">
      <c r="B2" s="132" t="s">
        <v>20</v>
      </c>
      <c r="C2" s="105" t="s">
        <v>46</v>
      </c>
      <c r="D2" s="105" t="s">
        <v>44</v>
      </c>
      <c r="E2" s="105" t="s">
        <v>46</v>
      </c>
      <c r="F2" s="105" t="s">
        <v>44</v>
      </c>
      <c r="G2" s="105" t="s">
        <v>46</v>
      </c>
      <c r="H2" s="105" t="s">
        <v>44</v>
      </c>
      <c r="I2" s="105" t="s">
        <v>46</v>
      </c>
      <c r="J2" s="133" t="s">
        <v>44</v>
      </c>
    </row>
    <row r="3" spans="1:17" ht="26" customHeight="1" x14ac:dyDescent="0.2">
      <c r="B3" s="134" t="s">
        <v>3</v>
      </c>
      <c r="C3" s="106">
        <f>VLOOKUP($B:$B,'Calculations 293HEK TRex'!$AI:$AL,2,FALSE)</f>
        <v>203.49396605380116</v>
      </c>
      <c r="D3" s="106">
        <f>VLOOKUP($B:$B,'Calculations 293HEK TRex'!$AI:$AM,3,FALSE)</f>
        <v>9.6876485852458689</v>
      </c>
      <c r="E3" s="106">
        <f>VLOOKUP($B:$B,'Calculations 293T 17'!$AA:$AD,2,FALSE)</f>
        <v>147.71464936793029</v>
      </c>
      <c r="F3" s="106">
        <f>VLOOKUP($B:$B,'Calculations 293T 17'!$AA:$AE,3,FALSE)</f>
        <v>6.8728312950736949</v>
      </c>
      <c r="G3" s="106">
        <f>VLOOKUP($B:$B,'Calculations MRC5'!$AA:$AD,2,FALSE)</f>
        <v>155.76236023855105</v>
      </c>
      <c r="H3" s="106">
        <f>VLOOKUP($B:$B,'Calculations MRC5'!$AA:$AE,3,FALSE)</f>
        <v>10.246468223811828</v>
      </c>
      <c r="I3" s="106">
        <f>VLOOKUP($B:$B,'Calculations HeLa'!$S:$V,2,FALSE)</f>
        <v>202.1128846199652</v>
      </c>
      <c r="J3" s="135">
        <f>VLOOKUP($B:$B,'Calculations HeLa'!$S:$W,3,FALSE)</f>
        <v>12.89446436216677</v>
      </c>
    </row>
    <row r="4" spans="1:17" ht="27" customHeight="1" x14ac:dyDescent="0.2">
      <c r="B4" s="134" t="s">
        <v>22</v>
      </c>
      <c r="C4" s="106">
        <f>VLOOKUP($B:$B,'Calculations 293HEK TRex'!$AI:$AL,2,FALSE)</f>
        <v>2098.82435053582</v>
      </c>
      <c r="D4" s="106">
        <f>VLOOKUP($B:$B,'Calculations 293HEK TRex'!$AI:$AM,3,FALSE)</f>
        <v>141.585104715331</v>
      </c>
      <c r="E4" s="106">
        <f>VLOOKUP($B:$B,'Calculations 293T 17'!$AA:$AD,2,FALSE)</f>
        <v>1674.9078489508056</v>
      </c>
      <c r="F4" s="106">
        <f>VLOOKUP($B:$B,'Calculations 293T 17'!$AA:$AE,3,FALSE)</f>
        <v>120.44951311540127</v>
      </c>
      <c r="G4" s="106">
        <f>VLOOKUP($B:$B,'Calculations MRC5'!$AA:$AD,2,FALSE)</f>
        <v>1772.6856277670367</v>
      </c>
      <c r="H4" s="106">
        <f>VLOOKUP($B:$B,'Calculations MRC5'!$AA:$AE,3,FALSE)</f>
        <v>42.991371959459272</v>
      </c>
      <c r="I4" s="106">
        <f>VLOOKUP($B:$B,'Calculations HeLa'!$S:$V,2,FALSE)</f>
        <v>1875.1509588087258</v>
      </c>
      <c r="J4" s="135">
        <f>VLOOKUP($B:$B,'Calculations HeLa'!$S:$W,3,FALSE)</f>
        <v>7.4707209514290289</v>
      </c>
    </row>
    <row r="5" spans="1:17" ht="27" customHeight="1" x14ac:dyDescent="0.2">
      <c r="B5" s="134" t="s">
        <v>1</v>
      </c>
      <c r="C5" s="106">
        <f>VLOOKUP($B:$B,'Calculations 293HEK TRex'!$AI:$AL,2,FALSE)</f>
        <v>69.699952325513138</v>
      </c>
      <c r="D5" s="106">
        <f>VLOOKUP($B:$B,'Calculations 293HEK TRex'!$AI:$AM,3,FALSE)</f>
        <v>3.2726897946907605</v>
      </c>
      <c r="E5" s="106">
        <f>VLOOKUP($B:$B,'Calculations 293T 17'!$AA:$AD,2,FALSE)</f>
        <v>134.01695210981558</v>
      </c>
      <c r="F5" s="106">
        <f>VLOOKUP($B:$B,'Calculations 293T 17'!$AA:$AE,3,FALSE)</f>
        <v>3.3819316211483148</v>
      </c>
      <c r="G5" s="106">
        <f>VLOOKUP($B:$B,'Calculations MRC5'!$AA:$AD,2,FALSE)</f>
        <v>82.112228125421481</v>
      </c>
      <c r="H5" s="106">
        <f>VLOOKUP($B:$B,'Calculations MRC5'!$AA:$AE,3,FALSE)</f>
        <v>1.544539178966033</v>
      </c>
      <c r="I5" s="106">
        <f>VLOOKUP($B:$B,'Calculations HeLa'!$S:$V,2,FALSE)</f>
        <v>82.984768328475411</v>
      </c>
      <c r="J5" s="135">
        <f>VLOOKUP($B:$B,'Calculations HeLa'!$S:$W,3,FALSE)</f>
        <v>2.1216847502058793</v>
      </c>
    </row>
    <row r="6" spans="1:17" ht="25" customHeight="1" x14ac:dyDescent="0.2">
      <c r="B6" s="134" t="s">
        <v>2</v>
      </c>
      <c r="C6" s="106">
        <f>VLOOKUP($B:$B,'Calculations 293HEK TRex'!$AI:$AL,2,FALSE)</f>
        <v>131.89528122330699</v>
      </c>
      <c r="D6" s="106">
        <f>VLOOKUP($B:$B,'Calculations 293HEK TRex'!$AI:$AM,3,FALSE)</f>
        <v>7.4454766061666939</v>
      </c>
      <c r="E6" s="106">
        <f>VLOOKUP($B:$B,'Calculations 293T 17'!$AA:$AD,2,FALSE)</f>
        <v>98.544169556024954</v>
      </c>
      <c r="F6" s="106">
        <f>VLOOKUP($B:$B,'Calculations 293T 17'!$AA:$AE,3,FALSE)</f>
        <v>6.1028736594930066</v>
      </c>
      <c r="G6" s="106">
        <f>VLOOKUP($B:$B,'Calculations MRC5'!$AA:$AD,2,FALSE)</f>
        <v>116.8055219146808</v>
      </c>
      <c r="H6" s="106">
        <f>VLOOKUP($B:$B,'Calculations MRC5'!$AA:$AE,3,FALSE)</f>
        <v>1.1080887358456311</v>
      </c>
      <c r="I6" s="106">
        <f>VLOOKUP($B:$B,'Calculations HeLa'!$S:$V,2,FALSE)</f>
        <v>280.63016181948598</v>
      </c>
      <c r="J6" s="135">
        <f>VLOOKUP($B:$B,'Calculations HeLa'!$S:$W,3,FALSE)</f>
        <v>29.105928826768444</v>
      </c>
    </row>
    <row r="7" spans="1:17" ht="27" customHeight="1" x14ac:dyDescent="0.2">
      <c r="B7" s="134" t="s">
        <v>4</v>
      </c>
      <c r="C7" s="106">
        <f>VLOOKUP($B:$B,'Calculations 293HEK TRex'!$AI:$AL,2,FALSE)</f>
        <v>298.38543662299548</v>
      </c>
      <c r="D7" s="106">
        <f>VLOOKUP($B:$B,'Calculations 293HEK TRex'!$AI:$AM,3,FALSE)</f>
        <v>19.163079703895278</v>
      </c>
      <c r="E7" s="106">
        <f>VLOOKUP($B:$B,'Calculations 293T 17'!$AA:$AD,2,FALSE)</f>
        <v>344.77406516776108</v>
      </c>
      <c r="F7" s="106">
        <f>VLOOKUP($B:$B,'Calculations 293T 17'!$AA:$AE,3,FALSE)</f>
        <v>9.8284735308226221</v>
      </c>
      <c r="G7" s="106">
        <f>VLOOKUP($B:$B,'Calculations MRC5'!$AA:$AD,2,FALSE)</f>
        <v>176.45289991223137</v>
      </c>
      <c r="H7" s="106">
        <f>VLOOKUP($B:$B,'Calculations MRC5'!$AA:$AE,3,FALSE)</f>
        <v>1.2629170025795722</v>
      </c>
      <c r="I7" s="106">
        <f>VLOOKUP($B:$B,'Calculations HeLa'!$S:$V,2,FALSE)</f>
        <v>133.62579736983329</v>
      </c>
      <c r="J7" s="135">
        <f>VLOOKUP($B:$B,'Calculations HeLa'!$S:$W,3,FALSE)</f>
        <v>5.2309988101906981</v>
      </c>
    </row>
    <row r="8" spans="1:17" ht="30" customHeight="1" thickBot="1" x14ac:dyDescent="0.25">
      <c r="B8" s="136" t="s">
        <v>5</v>
      </c>
      <c r="C8" s="137">
        <f>VLOOKUP($B:$B,'Calculations 293HEK TRex'!$AI:$AL,2,FALSE)</f>
        <v>2322.3111893522555</v>
      </c>
      <c r="D8" s="137">
        <f>VLOOKUP($B:$B,'Calculations 293HEK TRex'!$AI:$AM,3,FALSE)</f>
        <v>149.4553577039579</v>
      </c>
      <c r="E8" s="137">
        <f>VLOOKUP($B:$B,'Calculations 293T 17'!$AA:$AD,2,FALSE)</f>
        <v>1172.7301912283183</v>
      </c>
      <c r="F8" s="137">
        <f>VLOOKUP($B:$B,'Calculations 293T 17'!$AA:$AE,3,FALSE)</f>
        <v>8.6679161937295159</v>
      </c>
      <c r="G8" s="137">
        <f>VLOOKUP($B:$B,'Calculations MRC5'!$AA:$AD,2,FALSE)</f>
        <v>1435.5536428594962</v>
      </c>
      <c r="H8" s="137">
        <f>VLOOKUP($B:$B,'Calculations MRC5'!$AA:$AE,3,FALSE)</f>
        <v>41.665292397222771</v>
      </c>
      <c r="I8" s="137">
        <f>VLOOKUP($B:$B,'Calculations HeLa'!$S:$V,2,FALSE)</f>
        <v>1857.5200573633515</v>
      </c>
      <c r="J8" s="138">
        <f>VLOOKUP($B:$B,'Calculations HeLa'!$S:$W,3,FALSE)</f>
        <v>24.264901650241537</v>
      </c>
    </row>
    <row r="9" spans="1:17" ht="26" customHeight="1" x14ac:dyDescent="0.2"/>
    <row r="10" spans="1:17" ht="5" hidden="1" x14ac:dyDescent="0.2"/>
    <row r="11" spans="1:17" ht="26" customHeight="1" x14ac:dyDescent="0.2"/>
    <row r="12" spans="1:17" ht="78" customHeight="1" x14ac:dyDescent="0.2">
      <c r="B12" s="146" t="s">
        <v>76</v>
      </c>
      <c r="C12" s="146"/>
      <c r="D12" s="146"/>
      <c r="E12" s="146"/>
      <c r="F12" s="146"/>
      <c r="G12" s="146"/>
      <c r="H12" s="146"/>
      <c r="I12" s="146"/>
      <c r="J12" s="146"/>
    </row>
    <row r="13" spans="1:17" ht="35" customHeight="1" thickBot="1" x14ac:dyDescent="0.25">
      <c r="B13" s="118"/>
      <c r="C13" s="118"/>
      <c r="D13" s="118"/>
      <c r="E13" s="118"/>
      <c r="F13" s="118"/>
      <c r="G13" s="118"/>
      <c r="H13" s="118"/>
      <c r="I13" s="118"/>
      <c r="J13" s="118"/>
    </row>
    <row r="14" spans="1:17" ht="41" customHeight="1" x14ac:dyDescent="0.2">
      <c r="A14" s="108"/>
      <c r="B14" s="123"/>
      <c r="C14" s="139" t="s">
        <v>36</v>
      </c>
      <c r="D14" s="139"/>
      <c r="E14" s="139" t="s">
        <v>45</v>
      </c>
      <c r="F14" s="139"/>
      <c r="G14" s="139" t="s">
        <v>6</v>
      </c>
      <c r="H14" s="139"/>
      <c r="I14" s="139" t="s">
        <v>41</v>
      </c>
      <c r="J14" s="140"/>
      <c r="L14" s="141" t="s">
        <v>75</v>
      </c>
      <c r="M14" s="142"/>
      <c r="N14" s="142"/>
      <c r="O14" s="143"/>
      <c r="Q14" s="116" t="s">
        <v>74</v>
      </c>
    </row>
    <row r="15" spans="1:17" ht="33" customHeight="1" thickBot="1" x14ac:dyDescent="0.25">
      <c r="A15" s="108"/>
      <c r="B15" s="124" t="s">
        <v>20</v>
      </c>
      <c r="C15" s="120" t="s">
        <v>46</v>
      </c>
      <c r="D15" s="120" t="s">
        <v>44</v>
      </c>
      <c r="E15" s="120" t="s">
        <v>46</v>
      </c>
      <c r="F15" s="120" t="s">
        <v>44</v>
      </c>
      <c r="G15" s="120" t="s">
        <v>46</v>
      </c>
      <c r="H15" s="120" t="s">
        <v>44</v>
      </c>
      <c r="I15" s="120" t="s">
        <v>46</v>
      </c>
      <c r="J15" s="125" t="s">
        <v>44</v>
      </c>
      <c r="L15" s="110" t="s">
        <v>36</v>
      </c>
      <c r="M15" s="111" t="s">
        <v>45</v>
      </c>
      <c r="N15" s="111" t="s">
        <v>6</v>
      </c>
      <c r="O15" s="112" t="s">
        <v>41</v>
      </c>
      <c r="Q15" s="117">
        <v>1</v>
      </c>
    </row>
    <row r="16" spans="1:17" ht="33" customHeight="1" x14ac:dyDescent="0.2">
      <c r="A16" s="108"/>
      <c r="B16" s="124" t="s">
        <v>3</v>
      </c>
      <c r="C16" s="121">
        <f t="shared" ref="C16:C21" si="0">ROUND(C3,L16-(1+INT(LOG10(ABS(C3)))))</f>
        <v>200</v>
      </c>
      <c r="D16" s="122">
        <f>ROUND(D3,$Q$15-(1+INT(LOG10(ABS(D3)))))</f>
        <v>10</v>
      </c>
      <c r="E16" s="121">
        <f t="shared" ref="E16:E21" si="1">ROUND(E3,M16-(1+INT(LOG10(ABS(E3)))))</f>
        <v>148</v>
      </c>
      <c r="F16" s="122">
        <f>ROUND(F3,$Q$15-(1+INT(LOG10(ABS(F3)))))</f>
        <v>7</v>
      </c>
      <c r="G16" s="121">
        <f t="shared" ref="G16:G21" si="2">ROUND(G3,N16-(1+INT(LOG10(ABS(G3)))))</f>
        <v>160</v>
      </c>
      <c r="H16" s="122">
        <f>ROUND(H3,$Q$15-(1+INT(LOG10(ABS(H3)))))</f>
        <v>10</v>
      </c>
      <c r="I16" s="121">
        <f>ROUND(I3,O16-(1+INT(LOG10(ABS(I3)))))</f>
        <v>200</v>
      </c>
      <c r="J16" s="126">
        <f>ROUND(J3,$Q$15-(1+INT(LOG10(ABS(J3)))))</f>
        <v>10</v>
      </c>
      <c r="L16" s="110">
        <v>2</v>
      </c>
      <c r="M16" s="111">
        <v>3</v>
      </c>
      <c r="N16" s="111">
        <v>2</v>
      </c>
      <c r="O16" s="112">
        <v>2</v>
      </c>
    </row>
    <row r="17" spans="1:15" ht="33" customHeight="1" x14ac:dyDescent="0.2">
      <c r="A17" s="108"/>
      <c r="B17" s="124" t="s">
        <v>77</v>
      </c>
      <c r="C17" s="121">
        <f t="shared" si="0"/>
        <v>2100</v>
      </c>
      <c r="D17" s="122">
        <f t="shared" ref="D17:D21" si="3">ROUND(D4,$Q$15-(1+INT(LOG10(ABS(D4)))))</f>
        <v>100</v>
      </c>
      <c r="E17" s="121">
        <f t="shared" si="1"/>
        <v>1700</v>
      </c>
      <c r="F17" s="122">
        <f t="shared" ref="F17:F21" si="4">ROUND(F4,$Q$15-(1+INT(LOG10(ABS(F4)))))</f>
        <v>100</v>
      </c>
      <c r="G17" s="121">
        <f t="shared" si="2"/>
        <v>1770</v>
      </c>
      <c r="H17" s="122">
        <f t="shared" ref="H17:H21" si="5">ROUND(H4,$Q$15-(1+INT(LOG10(ABS(H4)))))</f>
        <v>40</v>
      </c>
      <c r="I17" s="121">
        <f>ROUND(I4,O17-(1+INT(LOG10(ABS(I4)))))</f>
        <v>1875</v>
      </c>
      <c r="J17" s="126">
        <f t="shared" ref="J17:J21" si="6">ROUND(J4,$Q$15-(1+INT(LOG10(ABS(J4)))))</f>
        <v>7</v>
      </c>
      <c r="L17" s="110">
        <v>2</v>
      </c>
      <c r="M17" s="111">
        <v>2</v>
      </c>
      <c r="N17" s="111">
        <v>3</v>
      </c>
      <c r="O17" s="112">
        <v>4</v>
      </c>
    </row>
    <row r="18" spans="1:15" ht="33" customHeight="1" x14ac:dyDescent="0.2">
      <c r="A18" s="108"/>
      <c r="B18" s="124" t="s">
        <v>1</v>
      </c>
      <c r="C18" s="121">
        <f t="shared" si="0"/>
        <v>70</v>
      </c>
      <c r="D18" s="122">
        <f t="shared" si="3"/>
        <v>3</v>
      </c>
      <c r="E18" s="121">
        <f t="shared" si="1"/>
        <v>134</v>
      </c>
      <c r="F18" s="122">
        <f t="shared" si="4"/>
        <v>3</v>
      </c>
      <c r="G18" s="121">
        <f t="shared" si="2"/>
        <v>82</v>
      </c>
      <c r="H18" s="122">
        <f t="shared" si="5"/>
        <v>2</v>
      </c>
      <c r="I18" s="121">
        <f t="shared" ref="I18:I21" si="7">ROUND(I5,O18-(1+INT(LOG10(ABS(I5)))))</f>
        <v>83</v>
      </c>
      <c r="J18" s="126">
        <f t="shared" si="6"/>
        <v>2</v>
      </c>
      <c r="L18" s="110">
        <v>2</v>
      </c>
      <c r="M18" s="111">
        <v>3</v>
      </c>
      <c r="N18" s="111">
        <v>2</v>
      </c>
      <c r="O18" s="112">
        <v>2</v>
      </c>
    </row>
    <row r="19" spans="1:15" ht="33" customHeight="1" x14ac:dyDescent="0.2">
      <c r="A19" s="108"/>
      <c r="B19" s="124" t="s">
        <v>2</v>
      </c>
      <c r="C19" s="121">
        <f t="shared" si="0"/>
        <v>132</v>
      </c>
      <c r="D19" s="122">
        <f t="shared" si="3"/>
        <v>7</v>
      </c>
      <c r="E19" s="121">
        <f t="shared" si="1"/>
        <v>99</v>
      </c>
      <c r="F19" s="122">
        <f t="shared" si="4"/>
        <v>6</v>
      </c>
      <c r="G19" s="121">
        <f t="shared" si="2"/>
        <v>117</v>
      </c>
      <c r="H19" s="122">
        <f t="shared" si="5"/>
        <v>1</v>
      </c>
      <c r="I19" s="121">
        <f t="shared" si="7"/>
        <v>280</v>
      </c>
      <c r="J19" s="126">
        <f t="shared" si="6"/>
        <v>30</v>
      </c>
      <c r="L19" s="110">
        <v>3</v>
      </c>
      <c r="M19" s="111">
        <v>2</v>
      </c>
      <c r="N19" s="111">
        <v>3</v>
      </c>
      <c r="O19" s="112">
        <v>2</v>
      </c>
    </row>
    <row r="20" spans="1:15" ht="33" customHeight="1" x14ac:dyDescent="0.2">
      <c r="A20" s="108"/>
      <c r="B20" s="124" t="s">
        <v>4</v>
      </c>
      <c r="C20" s="121">
        <f t="shared" si="0"/>
        <v>300</v>
      </c>
      <c r="D20" s="122">
        <f t="shared" si="3"/>
        <v>20</v>
      </c>
      <c r="E20" s="121">
        <f t="shared" si="1"/>
        <v>340</v>
      </c>
      <c r="F20" s="122">
        <f t="shared" si="4"/>
        <v>10</v>
      </c>
      <c r="G20" s="121">
        <f t="shared" si="2"/>
        <v>176</v>
      </c>
      <c r="H20" s="122">
        <f t="shared" si="5"/>
        <v>1</v>
      </c>
      <c r="I20" s="121">
        <f t="shared" si="7"/>
        <v>134</v>
      </c>
      <c r="J20" s="126">
        <f t="shared" si="6"/>
        <v>5</v>
      </c>
      <c r="L20" s="110">
        <v>2</v>
      </c>
      <c r="M20" s="111">
        <v>2</v>
      </c>
      <c r="N20" s="111">
        <v>3</v>
      </c>
      <c r="O20" s="112">
        <v>3</v>
      </c>
    </row>
    <row r="21" spans="1:15" ht="33" customHeight="1" thickBot="1" x14ac:dyDescent="0.25">
      <c r="A21" s="108"/>
      <c r="B21" s="127" t="s">
        <v>5</v>
      </c>
      <c r="C21" s="128">
        <f t="shared" si="0"/>
        <v>2300</v>
      </c>
      <c r="D21" s="129">
        <f t="shared" si="3"/>
        <v>100</v>
      </c>
      <c r="E21" s="128">
        <f t="shared" si="1"/>
        <v>1173</v>
      </c>
      <c r="F21" s="129">
        <f t="shared" si="4"/>
        <v>9</v>
      </c>
      <c r="G21" s="128">
        <f t="shared" si="2"/>
        <v>1440</v>
      </c>
      <c r="H21" s="129">
        <f t="shared" si="5"/>
        <v>40</v>
      </c>
      <c r="I21" s="121">
        <f t="shared" si="7"/>
        <v>1860</v>
      </c>
      <c r="J21" s="130">
        <f t="shared" si="6"/>
        <v>20</v>
      </c>
      <c r="L21" s="113">
        <v>2</v>
      </c>
      <c r="M21" s="114">
        <v>4</v>
      </c>
      <c r="N21" s="114">
        <v>3</v>
      </c>
      <c r="O21" s="115">
        <v>3</v>
      </c>
    </row>
    <row r="23" spans="1:15" x14ac:dyDescent="0.2">
      <c r="C23" s="107"/>
    </row>
    <row r="30" spans="1:15" x14ac:dyDescent="0.2">
      <c r="G30" s="119"/>
    </row>
  </sheetData>
  <mergeCells count="10">
    <mergeCell ref="C1:D1"/>
    <mergeCell ref="E1:F1"/>
    <mergeCell ref="G1:H1"/>
    <mergeCell ref="I1:J1"/>
    <mergeCell ref="B12:J12"/>
    <mergeCell ref="C14:D14"/>
    <mergeCell ref="E14:F14"/>
    <mergeCell ref="G14:H14"/>
    <mergeCell ref="I14:J14"/>
    <mergeCell ref="L14:O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17D9A-27EC-1946-96C4-F7F2C09D4D47}">
  <dimension ref="A1:AM41"/>
  <sheetViews>
    <sheetView zoomScale="116" zoomScaleNormal="116" workbookViewId="0">
      <selection activeCell="AN3" sqref="AN3"/>
    </sheetView>
  </sheetViews>
  <sheetFormatPr baseColWidth="10" defaultRowHeight="16" x14ac:dyDescent="0.2"/>
  <cols>
    <col min="1" max="1" width="24.33203125" customWidth="1"/>
    <col min="2" max="2" width="11.83203125" customWidth="1"/>
    <col min="3" max="3" width="10" customWidth="1"/>
    <col min="4" max="5" width="9.83203125" customWidth="1"/>
    <col min="6" max="8" width="11.1640625" bestFit="1" customWidth="1"/>
    <col min="9" max="9" width="11" customWidth="1"/>
    <col min="10" max="12" width="11.1640625" bestFit="1" customWidth="1"/>
    <col min="13" max="13" width="11" customWidth="1"/>
    <col min="14" max="16" width="11.1640625" bestFit="1" customWidth="1"/>
    <col min="17" max="17" width="11" customWidth="1"/>
    <col min="18" max="18" width="12.5" bestFit="1" customWidth="1"/>
    <col min="19" max="20" width="12.33203125" bestFit="1" customWidth="1"/>
    <col min="21" max="21" width="12.1640625" customWidth="1"/>
    <col min="22" max="22" width="12.5" bestFit="1" customWidth="1"/>
    <col min="23" max="24" width="12.33203125" bestFit="1" customWidth="1"/>
    <col min="25" max="25" width="12.1640625" customWidth="1"/>
    <col min="26" max="26" width="12.5" bestFit="1" customWidth="1"/>
    <col min="27" max="27" width="12.1640625" bestFit="1" customWidth="1"/>
    <col min="28" max="28" width="11.1640625" bestFit="1" customWidth="1"/>
    <col min="29" max="29" width="12.1640625" bestFit="1" customWidth="1"/>
    <col min="30" max="30" width="11" bestFit="1" customWidth="1"/>
    <col min="35" max="35" width="13.33203125" customWidth="1"/>
    <col min="36" max="36" width="8.6640625" customWidth="1"/>
    <col min="37" max="37" width="7.33203125" customWidth="1"/>
    <col min="38" max="38" width="7.6640625" customWidth="1"/>
  </cols>
  <sheetData>
    <row r="1" spans="1:39" s="41" customFormat="1" ht="17" thickBot="1" x14ac:dyDescent="0.25">
      <c r="A1" s="83"/>
      <c r="B1" s="147" t="s">
        <v>30</v>
      </c>
      <c r="C1" s="148"/>
      <c r="D1" s="148"/>
      <c r="E1" s="149"/>
      <c r="F1" s="147" t="s">
        <v>31</v>
      </c>
      <c r="G1" s="148"/>
      <c r="H1" s="148"/>
      <c r="I1" s="149"/>
      <c r="J1" s="147" t="s">
        <v>26</v>
      </c>
      <c r="K1" s="148"/>
      <c r="L1" s="148"/>
      <c r="M1" s="149"/>
      <c r="N1" s="147" t="s">
        <v>27</v>
      </c>
      <c r="O1" s="148"/>
      <c r="P1" s="148"/>
      <c r="Q1" s="149"/>
      <c r="R1" s="147" t="s">
        <v>28</v>
      </c>
      <c r="S1" s="148"/>
      <c r="T1" s="148"/>
      <c r="U1" s="149"/>
      <c r="V1" s="147" t="s">
        <v>29</v>
      </c>
      <c r="W1" s="148"/>
      <c r="X1" s="148"/>
      <c r="Y1" s="149"/>
      <c r="Z1" s="147" t="s">
        <v>32</v>
      </c>
      <c r="AA1" s="148"/>
      <c r="AB1" s="148"/>
      <c r="AC1" s="149"/>
      <c r="AD1" s="147" t="s">
        <v>33</v>
      </c>
      <c r="AE1" s="148"/>
      <c r="AF1" s="148"/>
      <c r="AG1" s="149"/>
      <c r="AH1" s="57"/>
      <c r="AI1" s="57"/>
    </row>
    <row r="2" spans="1:39" s="41" customFormat="1" x14ac:dyDescent="0.2">
      <c r="A2" s="84" t="s">
        <v>0</v>
      </c>
      <c r="B2" s="92" t="s">
        <v>17</v>
      </c>
      <c r="C2" s="93" t="s">
        <v>18</v>
      </c>
      <c r="D2" s="93" t="s">
        <v>19</v>
      </c>
      <c r="E2" s="94" t="s">
        <v>34</v>
      </c>
      <c r="F2" s="40" t="s">
        <v>17</v>
      </c>
      <c r="G2" s="40" t="s">
        <v>18</v>
      </c>
      <c r="H2" s="40" t="s">
        <v>19</v>
      </c>
      <c r="I2" s="82" t="s">
        <v>34</v>
      </c>
      <c r="J2" s="43" t="s">
        <v>17</v>
      </c>
      <c r="K2" s="40" t="s">
        <v>18</v>
      </c>
      <c r="L2" s="40" t="s">
        <v>19</v>
      </c>
      <c r="M2" s="82" t="s">
        <v>34</v>
      </c>
      <c r="N2" s="43" t="s">
        <v>17</v>
      </c>
      <c r="O2" s="40" t="s">
        <v>18</v>
      </c>
      <c r="P2" s="40" t="s">
        <v>19</v>
      </c>
      <c r="Q2" s="82" t="s">
        <v>34</v>
      </c>
      <c r="R2" s="43" t="s">
        <v>17</v>
      </c>
      <c r="S2" s="40" t="s">
        <v>18</v>
      </c>
      <c r="T2" s="40" t="s">
        <v>19</v>
      </c>
      <c r="U2" s="82" t="s">
        <v>34</v>
      </c>
      <c r="V2" s="43" t="s">
        <v>17</v>
      </c>
      <c r="W2" s="40" t="s">
        <v>18</v>
      </c>
      <c r="X2" s="40" t="s">
        <v>19</v>
      </c>
      <c r="Y2" s="82" t="s">
        <v>34</v>
      </c>
      <c r="Z2" s="43" t="s">
        <v>17</v>
      </c>
      <c r="AA2" s="40" t="s">
        <v>18</v>
      </c>
      <c r="AB2" s="40" t="s">
        <v>19</v>
      </c>
      <c r="AC2" s="82" t="s">
        <v>34</v>
      </c>
      <c r="AD2" s="43" t="s">
        <v>17</v>
      </c>
      <c r="AE2" s="40" t="s">
        <v>18</v>
      </c>
      <c r="AF2" s="40" t="s">
        <v>19</v>
      </c>
      <c r="AG2" s="82" t="s">
        <v>34</v>
      </c>
      <c r="AH2" s="56"/>
      <c r="AI2" s="63" t="str">
        <f>A2</f>
        <v>Protein Name</v>
      </c>
      <c r="AJ2" s="64" t="s">
        <v>42</v>
      </c>
      <c r="AK2" s="64" t="s">
        <v>44</v>
      </c>
      <c r="AL2" s="64" t="s">
        <v>43</v>
      </c>
      <c r="AM2" s="65" t="s">
        <v>73</v>
      </c>
    </row>
    <row r="3" spans="1:39" s="41" customFormat="1" x14ac:dyDescent="0.2">
      <c r="A3" s="84" t="s">
        <v>1</v>
      </c>
      <c r="B3" s="95">
        <f>VLOOKUP($A:$A,'293HEK TRex Peptide_Ratio_Resul'!$A:$F,3,FALSE)</f>
        <v>3.2399999999999998E-2</v>
      </c>
      <c r="C3" s="96">
        <f>VLOOKUP($A:$A,'293HEK TRex Peptide_Ratio_Resul'!$A:$F,4,FALSE)</f>
        <v>2.6849999999999999E-2</v>
      </c>
      <c r="D3" s="96">
        <f>VLOOKUP($A:$A,'293HEK TRex Peptide_Ratio_Resul'!$A:$F,5,FALSE)</f>
        <v>2.9350000000000001E-2</v>
      </c>
      <c r="E3" s="97">
        <f>VLOOKUP($A:$A,'293HEK TRex Peptide_Ratio_Resul'!$A:$F,6,FALSE)</f>
        <v>2.67999999999999E-2</v>
      </c>
      <c r="F3" s="42">
        <f>1/B3</f>
        <v>30.8641975308642</v>
      </c>
      <c r="G3" s="42">
        <f>1/C3</f>
        <v>37.243947858473</v>
      </c>
      <c r="H3" s="42">
        <f>1/D3</f>
        <v>34.071550255536629</v>
      </c>
      <c r="I3" s="50">
        <f>1/E3</f>
        <v>37.313432835821033</v>
      </c>
      <c r="J3" s="45">
        <f t="shared" ref="J3:M8" si="0">$B28/F3</f>
        <v>0.48599999999999999</v>
      </c>
      <c r="K3" s="41">
        <f t="shared" si="0"/>
        <v>0.40275</v>
      </c>
      <c r="L3" s="41">
        <f t="shared" si="0"/>
        <v>0.44024999999999997</v>
      </c>
      <c r="M3" s="46">
        <f t="shared" si="0"/>
        <v>0.40199999999999853</v>
      </c>
      <c r="N3" s="45">
        <f>J3*(500*10^-6)</f>
        <v>2.43E-4</v>
      </c>
      <c r="O3" s="41">
        <f>K3*(500*10^-6)</f>
        <v>2.01375E-4</v>
      </c>
      <c r="P3" s="41">
        <f>L3*(500*10^-6)</f>
        <v>2.20125E-4</v>
      </c>
      <c r="Q3" s="46">
        <f>M3*(500*10^-6)</f>
        <v>2.0099999999999927E-4</v>
      </c>
      <c r="R3" s="45">
        <f>N3/B$23</f>
        <v>1.0333829470550713E-10</v>
      </c>
      <c r="S3" s="41">
        <f t="shared" ref="S3:U3" si="1">O3/C$23</f>
        <v>1.1856049455401824E-10</v>
      </c>
      <c r="T3" s="41">
        <f t="shared" si="1"/>
        <v>1.1314572089437163E-10</v>
      </c>
      <c r="U3" s="46">
        <f t="shared" si="1"/>
        <v>1.2697409981048596E-10</v>
      </c>
      <c r="V3" s="45">
        <f t="shared" ref="V3:W8" si="2">R3/10^9</f>
        <v>1.0333829470550713E-19</v>
      </c>
      <c r="W3" s="41">
        <f t="shared" si="2"/>
        <v>1.1856049455401825E-19</v>
      </c>
      <c r="X3" s="41">
        <f t="shared" ref="X3:Y3" si="3">T3/10^9</f>
        <v>1.1314572089437164E-19</v>
      </c>
      <c r="Y3" s="46">
        <f t="shared" si="3"/>
        <v>1.2697409981048595E-19</v>
      </c>
      <c r="Z3" s="45">
        <f t="shared" ref="Z3:AC8" si="4">V3/B$22</f>
        <v>6.251512952341708E-8</v>
      </c>
      <c r="AA3" s="41">
        <f t="shared" si="4"/>
        <v>7.2313804397508908E-8</v>
      </c>
      <c r="AB3" s="41">
        <f t="shared" si="4"/>
        <v>6.6525346397930725E-8</v>
      </c>
      <c r="AC3" s="46">
        <f t="shared" si="4"/>
        <v>7.7445528983195849E-8</v>
      </c>
      <c r="AD3" s="45">
        <f>Z3*10^9</f>
        <v>62.51512952341708</v>
      </c>
      <c r="AE3" s="41">
        <f t="shared" ref="AE3:AG8" si="5">AA3*10^9</f>
        <v>72.313804397508903</v>
      </c>
      <c r="AF3" s="41">
        <f t="shared" si="5"/>
        <v>66.525346397930718</v>
      </c>
      <c r="AG3" s="46">
        <f t="shared" si="5"/>
        <v>77.445528983195842</v>
      </c>
      <c r="AI3" s="66" t="str">
        <f>A3</f>
        <v>UB2R1</v>
      </c>
      <c r="AJ3" s="78">
        <f>AVERAGE(AD3:AG3)</f>
        <v>69.699952325513138</v>
      </c>
      <c r="AK3" s="78">
        <f>AL3/SQRT(4)</f>
        <v>3.2726897946907605</v>
      </c>
      <c r="AL3" s="78">
        <f t="shared" ref="AL3:AL8" si="6">STDEV(AD3:AG3)</f>
        <v>6.545379589381521</v>
      </c>
      <c r="AM3" s="75">
        <f>_xlfn.CONFIDENCE.T(0.05,AL3,4)</f>
        <v>10.415159545453312</v>
      </c>
    </row>
    <row r="4" spans="1:39" s="41" customFormat="1" x14ac:dyDescent="0.2">
      <c r="A4" s="84" t="s">
        <v>2</v>
      </c>
      <c r="B4" s="95">
        <f>VLOOKUP($A:$A,'293HEK TRex Peptide_Ratio_Resul'!$A:$F,3,FALSE)</f>
        <v>5.74E-2</v>
      </c>
      <c r="C4" s="96">
        <f>VLOOKUP($A:$A,'293HEK TRex Peptide_Ratio_Resul'!$A:$F,4,FALSE)</f>
        <v>5.0700000000000002E-2</v>
      </c>
      <c r="D4" s="96">
        <f>VLOOKUP($A:$A,'293HEK TRex Peptide_Ratio_Resul'!$A:$F,5,FALSE)</f>
        <v>5.9400000000000001E-2</v>
      </c>
      <c r="E4" s="97">
        <f>VLOOKUP($A:$A,'293HEK TRex Peptide_Ratio_Resul'!$A:$F,6,FALSE)</f>
        <v>5.04E-2</v>
      </c>
      <c r="F4" s="42">
        <f t="shared" ref="F4:H8" si="7">1/B4</f>
        <v>17.421602787456447</v>
      </c>
      <c r="G4" s="42">
        <f t="shared" si="7"/>
        <v>19.723865877712029</v>
      </c>
      <c r="H4" s="42">
        <f t="shared" si="7"/>
        <v>16.835016835016834</v>
      </c>
      <c r="I4" s="50">
        <f t="shared" ref="I4:I8" si="8">1/E4</f>
        <v>19.841269841269842</v>
      </c>
      <c r="J4" s="45">
        <f t="shared" si="0"/>
        <v>0.86099999999999999</v>
      </c>
      <c r="K4" s="41">
        <f t="shared" si="0"/>
        <v>0.76050000000000006</v>
      </c>
      <c r="L4" s="41">
        <f t="shared" si="0"/>
        <v>0.89100000000000001</v>
      </c>
      <c r="M4" s="46">
        <f t="shared" si="0"/>
        <v>0.75600000000000001</v>
      </c>
      <c r="N4" s="45">
        <f t="shared" ref="N4:O8" si="9">J4*(500*10^-6)</f>
        <v>4.305E-4</v>
      </c>
      <c r="O4" s="41">
        <f t="shared" si="9"/>
        <v>3.8025000000000005E-4</v>
      </c>
      <c r="P4" s="41">
        <f t="shared" ref="P4:P8" si="10">L4*(500*10^-6)</f>
        <v>4.4550000000000004E-4</v>
      </c>
      <c r="Q4" s="46">
        <f t="shared" ref="Q4:Q8" si="11">M4*(500*10^-6)</f>
        <v>3.7800000000000003E-4</v>
      </c>
      <c r="R4" s="45">
        <f t="shared" ref="R4:R8" si="12">N4/B$23</f>
        <v>1.8307463321284288E-10</v>
      </c>
      <c r="S4" s="41">
        <f t="shared" ref="S4:S8" si="13">O4/C$23</f>
        <v>2.2387400647630264E-10</v>
      </c>
      <c r="T4" s="41">
        <f t="shared" ref="T4:T8" si="14">P4/D$23</f>
        <v>2.2898997686969934E-10</v>
      </c>
      <c r="U4" s="46">
        <f t="shared" ref="U4:U8" si="15">Q4/E$23</f>
        <v>2.3878711307643717E-10</v>
      </c>
      <c r="V4" s="45">
        <f t="shared" si="2"/>
        <v>1.8307463321284287E-19</v>
      </c>
      <c r="W4" s="41">
        <f t="shared" si="2"/>
        <v>2.2387400647630262E-19</v>
      </c>
      <c r="X4" s="41">
        <f t="shared" ref="X4:X8" si="16">T4/10^9</f>
        <v>2.2898997686969934E-19</v>
      </c>
      <c r="Y4" s="46">
        <f>U4/10^9</f>
        <v>2.3878711307643715E-19</v>
      </c>
      <c r="Z4" s="45">
        <f t="shared" si="4"/>
        <v>1.1075211218037469E-7</v>
      </c>
      <c r="AA4" s="41">
        <f t="shared" si="4"/>
        <v>1.3654785411373189E-7</v>
      </c>
      <c r="AB4" s="41">
        <f t="shared" si="4"/>
        <v>1.3463732797400632E-7</v>
      </c>
      <c r="AC4" s="46">
        <f t="shared" si="4"/>
        <v>1.456438306251151E-7</v>
      </c>
      <c r="AD4" s="45">
        <f t="shared" ref="AD4:AD8" si="17">Z4*10^9</f>
        <v>110.7521121803747</v>
      </c>
      <c r="AE4" s="41">
        <f t="shared" si="5"/>
        <v>136.54785411373189</v>
      </c>
      <c r="AF4" s="41">
        <f t="shared" ref="AF4:AF8" si="18">AB4*10^9</f>
        <v>134.63732797400633</v>
      </c>
      <c r="AG4" s="46">
        <f t="shared" ref="AG4:AG8" si="19">AC4*10^9</f>
        <v>145.6438306251151</v>
      </c>
      <c r="AI4" s="66" t="str">
        <f t="shared" ref="AI4:AI7" si="20">A4</f>
        <v>UB2R2</v>
      </c>
      <c r="AJ4" s="78">
        <f t="shared" ref="AJ4:AJ8" si="21">AVERAGE(AD4:AG4)</f>
        <v>131.89528122330699</v>
      </c>
      <c r="AK4" s="78">
        <f t="shared" ref="AK4:AK8" si="22">AL4/SQRT(4)</f>
        <v>7.4454766061666939</v>
      </c>
      <c r="AL4" s="78">
        <f t="shared" si="6"/>
        <v>14.890953212333388</v>
      </c>
      <c r="AM4" s="75">
        <f t="shared" ref="AM4:AM8" si="23">_xlfn.CONFIDENCE.T(0.05,AL4,4)</f>
        <v>23.694829516371485</v>
      </c>
    </row>
    <row r="5" spans="1:39" s="41" customFormat="1" x14ac:dyDescent="0.2">
      <c r="A5" s="84" t="s">
        <v>22</v>
      </c>
      <c r="B5" s="95">
        <f>VLOOKUP($A:$A,'293HEK TRex Peptide_Ratio_Resul'!$A:$F,3,FALSE)</f>
        <v>0.26200000000000001</v>
      </c>
      <c r="C5" s="96">
        <f>VLOOKUP($A:$A,'293HEK TRex Peptide_Ratio_Resul'!$A:$F,4,FALSE)</f>
        <v>0.2465</v>
      </c>
      <c r="D5" s="96">
        <f>VLOOKUP($A:$A,'293HEK TRex Peptide_Ratio_Resul'!$A:$F,5,FALSE)</f>
        <v>0.28760000000000002</v>
      </c>
      <c r="E5" s="97">
        <f>VLOOKUP($A:$A,'293HEK TRex Peptide_Ratio_Resul'!$A:$F,6,FALSE)</f>
        <v>0.24129999999999999</v>
      </c>
      <c r="F5" s="42">
        <f t="shared" si="7"/>
        <v>3.8167938931297707</v>
      </c>
      <c r="G5" s="42">
        <f t="shared" si="7"/>
        <v>4.056795131845842</v>
      </c>
      <c r="H5" s="42">
        <f t="shared" si="7"/>
        <v>3.4770514603616132</v>
      </c>
      <c r="I5" s="50">
        <f t="shared" si="8"/>
        <v>4.1442188147534189</v>
      </c>
      <c r="J5" s="45">
        <f t="shared" si="0"/>
        <v>13.100000000000001</v>
      </c>
      <c r="K5" s="41">
        <f t="shared" si="0"/>
        <v>12.324999999999999</v>
      </c>
      <c r="L5" s="41">
        <f t="shared" si="0"/>
        <v>14.38</v>
      </c>
      <c r="M5" s="46">
        <f t="shared" si="0"/>
        <v>12.065</v>
      </c>
      <c r="N5" s="45">
        <f t="shared" si="9"/>
        <v>6.5500000000000011E-3</v>
      </c>
      <c r="O5" s="41">
        <f t="shared" si="9"/>
        <v>6.1624999999999996E-3</v>
      </c>
      <c r="P5" s="41">
        <f t="shared" si="10"/>
        <v>7.1900000000000002E-3</v>
      </c>
      <c r="Q5" s="46">
        <f t="shared" si="11"/>
        <v>6.0324999999999997E-3</v>
      </c>
      <c r="R5" s="45">
        <f t="shared" si="12"/>
        <v>2.7854560918562625E-9</v>
      </c>
      <c r="S5" s="41">
        <f t="shared" si="13"/>
        <v>3.6282013541360023E-9</v>
      </c>
      <c r="T5" s="41">
        <f t="shared" si="14"/>
        <v>3.6957080442045746E-9</v>
      </c>
      <c r="U5" s="46">
        <f t="shared" si="15"/>
        <v>3.8108022741629813E-9</v>
      </c>
      <c r="V5" s="45">
        <f t="shared" si="2"/>
        <v>2.7854560918562625E-18</v>
      </c>
      <c r="W5" s="41">
        <f t="shared" si="2"/>
        <v>3.6282013541360022E-18</v>
      </c>
      <c r="X5" s="41">
        <f t="shared" si="16"/>
        <v>3.6957080442045745E-18</v>
      </c>
      <c r="Y5" s="46">
        <f t="shared" ref="Y5:Y8" si="24">U5/10^9</f>
        <v>3.8108022741629812E-18</v>
      </c>
      <c r="Z5" s="45">
        <f t="shared" si="4"/>
        <v>1.6850785941497199E-6</v>
      </c>
      <c r="AA5" s="41">
        <f t="shared" si="4"/>
        <v>2.2129550321521967E-6</v>
      </c>
      <c r="AB5" s="41">
        <f t="shared" si="4"/>
        <v>2.1729346534974301E-6</v>
      </c>
      <c r="AC5" s="46">
        <f t="shared" si="4"/>
        <v>2.3243291223439334E-6</v>
      </c>
      <c r="AD5" s="45">
        <f t="shared" si="17"/>
        <v>1685.0785941497199</v>
      </c>
      <c r="AE5" s="41">
        <f t="shared" si="5"/>
        <v>2212.955032152197</v>
      </c>
      <c r="AF5" s="41">
        <f t="shared" si="18"/>
        <v>2172.9346534974302</v>
      </c>
      <c r="AG5" s="46">
        <f t="shared" si="19"/>
        <v>2324.3291223439332</v>
      </c>
      <c r="AI5" s="66" t="str">
        <f t="shared" si="20"/>
        <v>UBE2D</v>
      </c>
      <c r="AJ5" s="78">
        <f t="shared" si="21"/>
        <v>2098.82435053582</v>
      </c>
      <c r="AK5" s="78">
        <f t="shared" si="22"/>
        <v>141.585104715331</v>
      </c>
      <c r="AL5" s="78">
        <f t="shared" si="6"/>
        <v>283.170209430662</v>
      </c>
      <c r="AM5" s="75">
        <f t="shared" si="23"/>
        <v>450.5869933845122</v>
      </c>
    </row>
    <row r="6" spans="1:39" s="41" customFormat="1" x14ac:dyDescent="0.2">
      <c r="A6" s="84" t="s">
        <v>3</v>
      </c>
      <c r="B6" s="95">
        <f>VLOOKUP($A:$A,'293HEK TRex Peptide_Ratio_Resul'!$A:$F,3,FALSE)</f>
        <v>9.2450000000000004E-2</v>
      </c>
      <c r="C6" s="96">
        <f>VLOOKUP($A:$A,'293HEK TRex Peptide_Ratio_Resul'!$A:$F,4,FALSE)</f>
        <v>8.3549999999999999E-2</v>
      </c>
      <c r="D6" s="96">
        <f>VLOOKUP($A:$A,'293HEK TRex Peptide_Ratio_Resul'!$A:$F,5,FALSE)</f>
        <v>9.2149999999999996E-2</v>
      </c>
      <c r="E6" s="97">
        <f>VLOOKUP($A:$A,'293HEK TRex Peptide_Ratio_Resul'!$A:$F,6,FALSE)</f>
        <v>6.9800000000000001E-2</v>
      </c>
      <c r="F6" s="42">
        <f t="shared" si="7"/>
        <v>10.816657652785288</v>
      </c>
      <c r="G6" s="42">
        <f t="shared" si="7"/>
        <v>11.968880909634949</v>
      </c>
      <c r="H6" s="42">
        <f t="shared" si="7"/>
        <v>10.851871947911015</v>
      </c>
      <c r="I6" s="50">
        <f t="shared" si="8"/>
        <v>14.326647564469914</v>
      </c>
      <c r="J6" s="45">
        <f t="shared" si="0"/>
        <v>1.3867500000000001</v>
      </c>
      <c r="K6" s="41">
        <f t="shared" si="0"/>
        <v>1.25325</v>
      </c>
      <c r="L6" s="41">
        <f t="shared" si="0"/>
        <v>1.38225</v>
      </c>
      <c r="M6" s="46">
        <f t="shared" si="0"/>
        <v>1.0469999999999999</v>
      </c>
      <c r="N6" s="45">
        <f t="shared" si="9"/>
        <v>6.9337500000000009E-4</v>
      </c>
      <c r="O6" s="41">
        <f t="shared" si="9"/>
        <v>6.2662500000000001E-4</v>
      </c>
      <c r="P6" s="41">
        <f t="shared" si="10"/>
        <v>6.9112500000000001E-4</v>
      </c>
      <c r="Q6" s="46">
        <f t="shared" si="11"/>
        <v>5.2349999999999999E-4</v>
      </c>
      <c r="R6" s="45">
        <f t="shared" si="12"/>
        <v>2.9486497980012763E-10</v>
      </c>
      <c r="S6" s="41">
        <f t="shared" si="13"/>
        <v>3.6892846629378862E-10</v>
      </c>
      <c r="T6" s="41">
        <f t="shared" si="14"/>
        <v>3.5524286815728605E-10</v>
      </c>
      <c r="U6" s="46">
        <f t="shared" si="15"/>
        <v>3.3070120025268478E-10</v>
      </c>
      <c r="V6" s="45">
        <f t="shared" si="2"/>
        <v>2.9486497980012761E-19</v>
      </c>
      <c r="W6" s="41">
        <f t="shared" si="2"/>
        <v>3.6892846629378863E-19</v>
      </c>
      <c r="X6" s="41">
        <f t="shared" si="16"/>
        <v>3.5524286815728604E-19</v>
      </c>
      <c r="Y6" s="46">
        <f t="shared" si="24"/>
        <v>3.307012002526848E-19</v>
      </c>
      <c r="Z6" s="45">
        <f t="shared" si="4"/>
        <v>1.7838036186542928E-7</v>
      </c>
      <c r="AA6" s="41">
        <f t="shared" si="4"/>
        <v>2.2502116787381262E-7</v>
      </c>
      <c r="AB6" s="41">
        <f t="shared" si="4"/>
        <v>2.0886918809435487E-7</v>
      </c>
      <c r="AC6" s="46">
        <f t="shared" si="4"/>
        <v>2.0170514638160784E-7</v>
      </c>
      <c r="AD6" s="45">
        <f t="shared" si="17"/>
        <v>178.38036186542928</v>
      </c>
      <c r="AE6" s="41">
        <f t="shared" si="5"/>
        <v>225.02116787381263</v>
      </c>
      <c r="AF6" s="41">
        <f t="shared" si="18"/>
        <v>208.86918809435488</v>
      </c>
      <c r="AG6" s="46">
        <f t="shared" si="19"/>
        <v>201.70514638160785</v>
      </c>
      <c r="AI6" s="66" t="str">
        <f t="shared" si="20"/>
        <v>ARIH1</v>
      </c>
      <c r="AJ6" s="78">
        <f t="shared" si="21"/>
        <v>203.49396605380116</v>
      </c>
      <c r="AK6" s="78">
        <f t="shared" si="22"/>
        <v>9.6876485852458689</v>
      </c>
      <c r="AL6" s="78">
        <f t="shared" si="6"/>
        <v>19.375297170491738</v>
      </c>
      <c r="AM6" s="75">
        <f t="shared" si="23"/>
        <v>30.830421447002667</v>
      </c>
    </row>
    <row r="7" spans="1:39" s="41" customFormat="1" x14ac:dyDescent="0.2">
      <c r="A7" s="84" t="s">
        <v>4</v>
      </c>
      <c r="B7" s="95">
        <f>VLOOKUP($A:$A,'293HEK TRex Peptide_Ratio_Resul'!$A:$F,3,FALSE)</f>
        <v>0.109033333333333</v>
      </c>
      <c r="C7" s="96">
        <f>VLOOKUP($A:$A,'293HEK TRex Peptide_Ratio_Resul'!$A:$F,4,FALSE)</f>
        <v>0.10363333333333299</v>
      </c>
      <c r="D7" s="96">
        <f>VLOOKUP($A:$A,'293HEK TRex Peptide_Ratio_Resul'!$A:$F,5,FALSE)</f>
        <v>0.1178</v>
      </c>
      <c r="E7" s="97">
        <f>VLOOKUP($A:$A,'293HEK TRex Peptide_Ratio_Resul'!$A:$F,6,FALSE)</f>
        <v>9.7366666666666601E-2</v>
      </c>
      <c r="F7" s="42">
        <f t="shared" si="7"/>
        <v>9.1715071843473233</v>
      </c>
      <c r="G7" s="42">
        <f t="shared" si="7"/>
        <v>9.6494049533612412</v>
      </c>
      <c r="H7" s="42">
        <f t="shared" si="7"/>
        <v>8.4889643463497446</v>
      </c>
      <c r="I7" s="50">
        <f t="shared" si="8"/>
        <v>10.27045532351935</v>
      </c>
      <c r="J7" s="45">
        <f t="shared" si="0"/>
        <v>1.880824999999994</v>
      </c>
      <c r="K7" s="41">
        <f t="shared" si="0"/>
        <v>1.7876749999999941</v>
      </c>
      <c r="L7" s="41">
        <f t="shared" si="0"/>
        <v>2.0320500000000004</v>
      </c>
      <c r="M7" s="46">
        <f t="shared" si="0"/>
        <v>1.6795749999999987</v>
      </c>
      <c r="N7" s="45">
        <f t="shared" si="9"/>
        <v>9.4041249999999698E-4</v>
      </c>
      <c r="O7" s="41">
        <f t="shared" si="9"/>
        <v>8.9383749999999711E-4</v>
      </c>
      <c r="P7" s="41">
        <f t="shared" si="10"/>
        <v>1.0160250000000003E-3</v>
      </c>
      <c r="Q7" s="46">
        <f t="shared" si="11"/>
        <v>8.3978749999999935E-4</v>
      </c>
      <c r="R7" s="45">
        <f t="shared" si="12"/>
        <v>3.9992026366149138E-10</v>
      </c>
      <c r="S7" s="41">
        <f t="shared" si="13"/>
        <v>5.2625110391521764E-10</v>
      </c>
      <c r="T7" s="41">
        <f t="shared" si="14"/>
        <v>5.2224363916730926E-10</v>
      </c>
      <c r="U7" s="46">
        <f t="shared" si="15"/>
        <v>5.3050379027163568E-10</v>
      </c>
      <c r="V7" s="45">
        <f t="shared" si="2"/>
        <v>3.9992026366149139E-19</v>
      </c>
      <c r="W7" s="41">
        <f t="shared" si="2"/>
        <v>5.2625110391521761E-19</v>
      </c>
      <c r="X7" s="41">
        <f t="shared" si="16"/>
        <v>5.2224363916730927E-19</v>
      </c>
      <c r="Y7" s="46">
        <f t="shared" si="24"/>
        <v>5.3050379027163568E-19</v>
      </c>
      <c r="Z7" s="45">
        <f t="shared" si="4"/>
        <v>2.4193419441539207E-7</v>
      </c>
      <c r="AA7" s="41">
        <f t="shared" si="4"/>
        <v>3.209772322192832E-7</v>
      </c>
      <c r="AB7" s="41">
        <f t="shared" si="4"/>
        <v>3.0705923940469084E-7</v>
      </c>
      <c r="AC7" s="46">
        <f t="shared" si="4"/>
        <v>3.2357108045261574E-7</v>
      </c>
      <c r="AD7" s="45">
        <f t="shared" si="17"/>
        <v>241.93419441539206</v>
      </c>
      <c r="AE7" s="41">
        <f t="shared" si="5"/>
        <v>320.97723221928322</v>
      </c>
      <c r="AF7" s="41">
        <f t="shared" si="18"/>
        <v>307.05923940469086</v>
      </c>
      <c r="AG7" s="46">
        <f t="shared" si="19"/>
        <v>323.57108045261572</v>
      </c>
      <c r="AI7" s="66" t="str">
        <f t="shared" si="20"/>
        <v>Cul1</v>
      </c>
      <c r="AJ7" s="78">
        <f t="shared" si="21"/>
        <v>298.38543662299548</v>
      </c>
      <c r="AK7" s="78">
        <f t="shared" si="22"/>
        <v>19.163079703895278</v>
      </c>
      <c r="AL7" s="78">
        <f t="shared" si="6"/>
        <v>38.326159407790556</v>
      </c>
      <c r="AM7" s="75">
        <f t="shared" si="23"/>
        <v>60.98547220151876</v>
      </c>
    </row>
    <row r="8" spans="1:39" s="41" customFormat="1" ht="17" thickBot="1" x14ac:dyDescent="0.25">
      <c r="A8" s="85" t="s">
        <v>5</v>
      </c>
      <c r="B8" s="98">
        <f>VLOOKUP($A:$A,'293HEK TRex Peptide_Ratio_Resul'!$A:$F,3,FALSE)</f>
        <v>0.25004999999999999</v>
      </c>
      <c r="C8" s="99">
        <f>VLOOKUP($A:$A,'293HEK TRex Peptide_Ratio_Resul'!$A:$F,4,FALSE)</f>
        <v>0.2389</v>
      </c>
      <c r="D8" s="99">
        <f>VLOOKUP($A:$A,'293HEK TRex Peptide_Ratio_Resul'!$A:$F,5,FALSE)</f>
        <v>0.26724999999999999</v>
      </c>
      <c r="E8" s="100">
        <f>VLOOKUP($A:$A,'293HEK TRex Peptide_Ratio_Resul'!$A:$F,6,FALSE)</f>
        <v>0.22289999999999999</v>
      </c>
      <c r="F8" s="51">
        <f t="shared" si="7"/>
        <v>3.9992001599680065</v>
      </c>
      <c r="G8" s="51">
        <f t="shared" si="7"/>
        <v>4.1858518208455422</v>
      </c>
      <c r="H8" s="51">
        <f t="shared" si="7"/>
        <v>3.7418147801683816</v>
      </c>
      <c r="I8" s="52">
        <f t="shared" si="8"/>
        <v>4.4863167339614183</v>
      </c>
      <c r="J8" s="47">
        <f t="shared" si="0"/>
        <v>14.6654325</v>
      </c>
      <c r="K8" s="48">
        <f t="shared" si="0"/>
        <v>14.011484999999999</v>
      </c>
      <c r="L8" s="48">
        <f t="shared" si="0"/>
        <v>15.674212499999999</v>
      </c>
      <c r="M8" s="49">
        <f t="shared" si="0"/>
        <v>13.073084999999997</v>
      </c>
      <c r="N8" s="47">
        <f t="shared" si="9"/>
        <v>7.3327162500000003E-3</v>
      </c>
      <c r="O8" s="48">
        <f t="shared" si="9"/>
        <v>7.0057424999999994E-3</v>
      </c>
      <c r="P8" s="48">
        <f t="shared" si="10"/>
        <v>7.8371062499999998E-3</v>
      </c>
      <c r="Q8" s="49">
        <f t="shared" si="11"/>
        <v>6.5365424999999991E-3</v>
      </c>
      <c r="R8" s="47">
        <f t="shared" si="12"/>
        <v>3.1183143738039551E-9</v>
      </c>
      <c r="S8" s="48">
        <f t="shared" si="13"/>
        <v>4.1246644097733295E-9</v>
      </c>
      <c r="T8" s="48">
        <f t="shared" si="14"/>
        <v>4.0283249807247494E-9</v>
      </c>
      <c r="U8" s="49">
        <f t="shared" si="15"/>
        <v>4.1292119393556536E-9</v>
      </c>
      <c r="V8" s="47">
        <f t="shared" si="2"/>
        <v>3.1183143738039551E-18</v>
      </c>
      <c r="W8" s="48">
        <f t="shared" si="2"/>
        <v>4.1246644097733296E-18</v>
      </c>
      <c r="X8" s="48">
        <f t="shared" si="16"/>
        <v>4.0283249807247497E-18</v>
      </c>
      <c r="Y8" s="49">
        <f t="shared" si="24"/>
        <v>4.1292119393556537E-18</v>
      </c>
      <c r="Z8" s="47">
        <f t="shared" si="4"/>
        <v>1.8864432350914204E-6</v>
      </c>
      <c r="AA8" s="48">
        <f t="shared" si="4"/>
        <v>2.5157635893448297E-6</v>
      </c>
      <c r="AB8" s="48">
        <f t="shared" si="4"/>
        <v>2.3685006611636019E-6</v>
      </c>
      <c r="AC8" s="49">
        <f t="shared" si="4"/>
        <v>2.5185372718091705E-6</v>
      </c>
      <c r="AD8" s="47">
        <f t="shared" si="17"/>
        <v>1886.4432350914203</v>
      </c>
      <c r="AE8" s="48">
        <f t="shared" si="5"/>
        <v>2515.7635893448296</v>
      </c>
      <c r="AF8" s="48">
        <f t="shared" si="18"/>
        <v>2368.5006611636018</v>
      </c>
      <c r="AG8" s="49">
        <f t="shared" si="19"/>
        <v>2518.5372718091703</v>
      </c>
      <c r="AI8" s="67" t="str">
        <f>A8</f>
        <v>Skp1</v>
      </c>
      <c r="AJ8" s="79">
        <f t="shared" si="21"/>
        <v>2322.3111893522555</v>
      </c>
      <c r="AK8" s="79">
        <f t="shared" si="22"/>
        <v>149.4553577039579</v>
      </c>
      <c r="AL8" s="79">
        <f t="shared" si="6"/>
        <v>298.9107154079158</v>
      </c>
      <c r="AM8" s="77">
        <f t="shared" si="23"/>
        <v>475.63365092981593</v>
      </c>
    </row>
    <row r="11" spans="1:39" ht="17" customHeight="1" x14ac:dyDescent="0.2"/>
    <row r="12" spans="1:39" ht="30" customHeight="1" thickBot="1" x14ac:dyDescent="0.25">
      <c r="A12" s="151" t="s">
        <v>16</v>
      </c>
      <c r="B12" s="151"/>
      <c r="C12" s="151"/>
      <c r="D12" s="151"/>
      <c r="E12" s="151"/>
    </row>
    <row r="13" spans="1:39" ht="19" x14ac:dyDescent="0.2">
      <c r="A13" s="29" t="s">
        <v>36</v>
      </c>
      <c r="B13" s="58" t="s">
        <v>17</v>
      </c>
      <c r="C13" s="58" t="s">
        <v>18</v>
      </c>
      <c r="D13" s="58" t="s">
        <v>19</v>
      </c>
      <c r="E13" s="59" t="s">
        <v>34</v>
      </c>
      <c r="F13" s="41"/>
    </row>
    <row r="14" spans="1:39" ht="28" customHeight="1" x14ac:dyDescent="0.2">
      <c r="A14" s="36" t="s">
        <v>7</v>
      </c>
      <c r="B14" s="4">
        <v>4703000</v>
      </c>
      <c r="C14" s="5">
        <v>3397000</v>
      </c>
      <c r="D14" s="5">
        <v>3891000</v>
      </c>
      <c r="E14" s="35">
        <v>3166000</v>
      </c>
    </row>
    <row r="15" spans="1:39" ht="28" customHeight="1" x14ac:dyDescent="0.2">
      <c r="A15" s="3" t="s">
        <v>8</v>
      </c>
      <c r="B15" s="4">
        <v>4668000</v>
      </c>
      <c r="C15" s="5">
        <v>3357000</v>
      </c>
      <c r="D15" s="5">
        <v>3842000</v>
      </c>
      <c r="E15" s="35">
        <v>3119000</v>
      </c>
    </row>
    <row r="16" spans="1:39" ht="27" customHeight="1" x14ac:dyDescent="0.2">
      <c r="A16" s="3" t="s">
        <v>9</v>
      </c>
      <c r="B16" s="6">
        <f>B15/B14</f>
        <v>0.99255794173931533</v>
      </c>
      <c r="C16" s="6">
        <f t="shared" ref="C16:D16" si="25">C15/C14</f>
        <v>0.98822490432734766</v>
      </c>
      <c r="D16" s="6">
        <f t="shared" si="25"/>
        <v>0.98740683628887171</v>
      </c>
      <c r="E16" s="33">
        <f>E15/E14</f>
        <v>0.98515476942514213</v>
      </c>
    </row>
    <row r="17" spans="1:5" ht="31" customHeight="1" x14ac:dyDescent="0.2">
      <c r="A17" s="3" t="s">
        <v>10</v>
      </c>
      <c r="B17" s="6">
        <v>0.28999999999999998</v>
      </c>
      <c r="C17" s="7">
        <v>0.25</v>
      </c>
      <c r="D17" s="7">
        <v>0.32</v>
      </c>
      <c r="E17" s="53">
        <v>0.27500000000000002</v>
      </c>
    </row>
    <row r="18" spans="1:5" ht="30" customHeight="1" x14ac:dyDescent="0.2">
      <c r="A18" s="3" t="s">
        <v>11</v>
      </c>
      <c r="B18" s="4">
        <v>14.67</v>
      </c>
      <c r="C18" s="5">
        <v>14.63</v>
      </c>
      <c r="D18" s="5">
        <v>14.81</v>
      </c>
      <c r="E18" s="35">
        <v>14.63</v>
      </c>
    </row>
    <row r="19" spans="1:5" ht="29" customHeight="1" x14ac:dyDescent="0.2">
      <c r="A19" s="34" t="s">
        <v>12</v>
      </c>
      <c r="B19" s="5">
        <f>B18/1000000</f>
        <v>1.467E-5</v>
      </c>
      <c r="C19" s="5">
        <f t="shared" ref="C19:D19" si="26">C18/1000000</f>
        <v>1.4630000000000001E-5</v>
      </c>
      <c r="D19" s="5">
        <f t="shared" si="26"/>
        <v>1.4810000000000001E-5</v>
      </c>
      <c r="E19" s="35">
        <f>E18/1000000</f>
        <v>1.4630000000000001E-5</v>
      </c>
    </row>
    <row r="20" spans="1:5" ht="27" customHeight="1" x14ac:dyDescent="0.2">
      <c r="A20" s="36" t="s">
        <v>13</v>
      </c>
      <c r="B20" s="22">
        <v>3.1415000000000002</v>
      </c>
      <c r="C20" s="22">
        <v>3.1415000000000002</v>
      </c>
      <c r="D20" s="22">
        <v>3.1415000000000002</v>
      </c>
      <c r="E20" s="37">
        <v>3.1415000000000002</v>
      </c>
    </row>
    <row r="21" spans="1:5" ht="27" customHeight="1" x14ac:dyDescent="0.2">
      <c r="A21" s="36" t="s">
        <v>14</v>
      </c>
      <c r="B21" s="5">
        <f>(4/3)*B20*((B19/2)^3)</f>
        <v>1.65301256661075E-15</v>
      </c>
      <c r="C21" s="5">
        <f>(4/3)*C20*((C19/2)^3)</f>
        <v>1.6395278265584166E-15</v>
      </c>
      <c r="D21" s="5">
        <f t="shared" ref="D21" si="27">(4/3)*D20*((D19/2)^3)</f>
        <v>1.7007911573669168E-15</v>
      </c>
      <c r="E21" s="35">
        <f>(4/3)*E20*((E19/2)^3)</f>
        <v>1.6395278265584166E-15</v>
      </c>
    </row>
    <row r="22" spans="1:5" ht="30" customHeight="1" x14ac:dyDescent="0.2">
      <c r="A22" s="60" t="s">
        <v>15</v>
      </c>
      <c r="B22" s="12">
        <f>B21*1000</f>
        <v>1.6530125666107499E-12</v>
      </c>
      <c r="C22" s="12">
        <f t="shared" ref="C22:D22" si="28">C21*1000</f>
        <v>1.6395278265584167E-12</v>
      </c>
      <c r="D22" s="12">
        <f t="shared" si="28"/>
        <v>1.7007911573669167E-12</v>
      </c>
      <c r="E22" s="61">
        <f>E21*1000</f>
        <v>1.6395278265584167E-12</v>
      </c>
    </row>
    <row r="23" spans="1:5" ht="32" customHeight="1" thickBot="1" x14ac:dyDescent="0.25">
      <c r="A23" s="62" t="s">
        <v>39</v>
      </c>
      <c r="B23" s="55">
        <f>B14/2</f>
        <v>2351500</v>
      </c>
      <c r="C23" s="55">
        <f t="shared" ref="C23:E23" si="29">C14/2</f>
        <v>1698500</v>
      </c>
      <c r="D23" s="55">
        <f t="shared" si="29"/>
        <v>1945500</v>
      </c>
      <c r="E23" s="39">
        <f t="shared" si="29"/>
        <v>1583000</v>
      </c>
    </row>
    <row r="24" spans="1:5" ht="32" customHeight="1" x14ac:dyDescent="0.2">
      <c r="A24" s="9"/>
      <c r="B24" s="15"/>
      <c r="C24" s="15"/>
      <c r="D24" s="15"/>
      <c r="E24" s="15"/>
    </row>
    <row r="25" spans="1:5" x14ac:dyDescent="0.2">
      <c r="C25" s="15"/>
    </row>
    <row r="26" spans="1:5" x14ac:dyDescent="0.2">
      <c r="A26" s="152" t="s">
        <v>38</v>
      </c>
      <c r="B26" s="153" t="s">
        <v>37</v>
      </c>
      <c r="C26" s="153"/>
      <c r="D26" s="153"/>
    </row>
    <row r="27" spans="1:5" x14ac:dyDescent="0.2">
      <c r="A27" s="152"/>
      <c r="B27" s="150" t="s">
        <v>25</v>
      </c>
      <c r="C27" s="150"/>
      <c r="D27" s="150"/>
    </row>
    <row r="28" spans="1:5" x14ac:dyDescent="0.2">
      <c r="A28" s="26" t="s">
        <v>1</v>
      </c>
      <c r="B28" s="150">
        <v>15</v>
      </c>
      <c r="C28" s="150"/>
      <c r="D28" s="150"/>
    </row>
    <row r="29" spans="1:5" x14ac:dyDescent="0.2">
      <c r="A29" s="26" t="s">
        <v>21</v>
      </c>
      <c r="B29" s="150">
        <v>15</v>
      </c>
      <c r="C29" s="150"/>
      <c r="D29" s="150"/>
    </row>
    <row r="30" spans="1:5" x14ac:dyDescent="0.2">
      <c r="A30" s="26" t="s">
        <v>22</v>
      </c>
      <c r="B30" s="150">
        <v>50</v>
      </c>
      <c r="C30" s="150"/>
      <c r="D30" s="150"/>
    </row>
    <row r="31" spans="1:5" x14ac:dyDescent="0.2">
      <c r="A31" s="26" t="s">
        <v>3</v>
      </c>
      <c r="B31" s="150">
        <v>15</v>
      </c>
      <c r="C31" s="150"/>
      <c r="D31" s="150"/>
    </row>
    <row r="32" spans="1:5" x14ac:dyDescent="0.2">
      <c r="A32" s="26" t="s">
        <v>4</v>
      </c>
      <c r="B32" s="150">
        <v>17.25</v>
      </c>
      <c r="C32" s="150"/>
      <c r="D32" s="150"/>
    </row>
    <row r="33" spans="1:5" x14ac:dyDescent="0.2">
      <c r="A33" s="26" t="s">
        <v>5</v>
      </c>
      <c r="B33" s="150">
        <v>58.65</v>
      </c>
      <c r="C33" s="150"/>
      <c r="D33" s="150"/>
      <c r="E33" s="2"/>
    </row>
    <row r="34" spans="1:5" x14ac:dyDescent="0.2">
      <c r="A34" s="2"/>
      <c r="B34" s="1"/>
      <c r="C34" s="25"/>
      <c r="D34" s="2"/>
      <c r="E34" s="2"/>
    </row>
    <row r="35" spans="1:5" x14ac:dyDescent="0.2">
      <c r="A35" s="2"/>
      <c r="B35" s="1"/>
      <c r="C35" s="25"/>
      <c r="D35" s="2"/>
      <c r="E35" s="2"/>
    </row>
    <row r="36" spans="1:5" x14ac:dyDescent="0.2">
      <c r="A36" s="2"/>
      <c r="B36" s="1"/>
      <c r="C36" s="25"/>
      <c r="D36" s="2"/>
      <c r="E36" s="2"/>
    </row>
    <row r="37" spans="1:5" x14ac:dyDescent="0.2">
      <c r="A37" s="2"/>
      <c r="B37" s="1"/>
      <c r="C37" s="25"/>
      <c r="D37" s="2"/>
      <c r="E37" s="2"/>
    </row>
    <row r="38" spans="1:5" x14ac:dyDescent="0.2">
      <c r="A38" s="2"/>
      <c r="B38" s="1"/>
      <c r="C38" s="25"/>
      <c r="D38" s="2"/>
      <c r="E38" s="2"/>
    </row>
    <row r="39" spans="1:5" x14ac:dyDescent="0.2">
      <c r="A39" s="2"/>
      <c r="B39" s="1"/>
      <c r="C39" s="25"/>
      <c r="D39" s="2"/>
      <c r="E39" s="2"/>
    </row>
    <row r="40" spans="1:5" x14ac:dyDescent="0.2">
      <c r="A40" s="2"/>
      <c r="B40" s="1"/>
      <c r="C40" s="25"/>
      <c r="D40" s="2"/>
      <c r="E40" s="2"/>
    </row>
    <row r="41" spans="1:5" x14ac:dyDescent="0.2">
      <c r="A41" s="2"/>
    </row>
  </sheetData>
  <mergeCells count="18">
    <mergeCell ref="B29:D29"/>
    <mergeCell ref="B30:D30"/>
    <mergeCell ref="B31:D31"/>
    <mergeCell ref="B32:D32"/>
    <mergeCell ref="B33:D33"/>
    <mergeCell ref="V1:Y1"/>
    <mergeCell ref="Z1:AC1"/>
    <mergeCell ref="AD1:AG1"/>
    <mergeCell ref="B28:D28"/>
    <mergeCell ref="F1:I1"/>
    <mergeCell ref="J1:M1"/>
    <mergeCell ref="N1:Q1"/>
    <mergeCell ref="R1:U1"/>
    <mergeCell ref="B1:E1"/>
    <mergeCell ref="A12:E12"/>
    <mergeCell ref="A26:A27"/>
    <mergeCell ref="B26:D26"/>
    <mergeCell ref="B27:D2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78C7D-DAAD-6A42-B1C5-00EFC6054F4A}">
  <dimension ref="A1:AE39"/>
  <sheetViews>
    <sheetView zoomScale="110" zoomScaleNormal="110" workbookViewId="0">
      <selection activeCell="AD14" sqref="AD14"/>
    </sheetView>
  </sheetViews>
  <sheetFormatPr baseColWidth="10" defaultRowHeight="16" x14ac:dyDescent="0.2"/>
  <cols>
    <col min="1" max="1" width="24.33203125" customWidth="1"/>
    <col min="2" max="2" width="10.1640625" customWidth="1"/>
    <col min="3" max="3" width="10" customWidth="1"/>
    <col min="4" max="4" width="9.83203125" customWidth="1"/>
    <col min="14" max="14" width="12.1640625" bestFit="1" customWidth="1"/>
    <col min="17" max="17" width="12.1640625" bestFit="1" customWidth="1"/>
    <col min="20" max="20" width="12.1640625" bestFit="1" customWidth="1"/>
    <col min="27" max="27" width="14.83203125" customWidth="1"/>
    <col min="28" max="28" width="7.1640625" customWidth="1"/>
    <col min="29" max="30" width="8.6640625" customWidth="1"/>
  </cols>
  <sheetData>
    <row r="1" spans="1:31" ht="17" thickBot="1" x14ac:dyDescent="0.25">
      <c r="B1" s="147" t="s">
        <v>30</v>
      </c>
      <c r="C1" s="148"/>
      <c r="D1" s="149"/>
      <c r="E1" s="147" t="s">
        <v>31</v>
      </c>
      <c r="F1" s="148"/>
      <c r="G1" s="149"/>
      <c r="H1" s="147" t="s">
        <v>26</v>
      </c>
      <c r="I1" s="148"/>
      <c r="J1" s="149"/>
      <c r="K1" s="147" t="s">
        <v>27</v>
      </c>
      <c r="L1" s="148"/>
      <c r="M1" s="149"/>
      <c r="N1" s="147" t="s">
        <v>28</v>
      </c>
      <c r="O1" s="148"/>
      <c r="P1" s="149"/>
      <c r="Q1" s="147" t="s">
        <v>29</v>
      </c>
      <c r="R1" s="148"/>
      <c r="S1" s="149"/>
      <c r="T1" s="147" t="s">
        <v>32</v>
      </c>
      <c r="U1" s="148"/>
      <c r="V1" s="149"/>
      <c r="W1" s="147" t="s">
        <v>33</v>
      </c>
      <c r="X1" s="148"/>
      <c r="Y1" s="149"/>
    </row>
    <row r="2" spans="1:31" x14ac:dyDescent="0.2">
      <c r="A2" s="1" t="s">
        <v>0</v>
      </c>
      <c r="B2" s="43" t="s">
        <v>17</v>
      </c>
      <c r="C2" s="40" t="s">
        <v>18</v>
      </c>
      <c r="D2" s="44" t="s">
        <v>19</v>
      </c>
      <c r="E2" s="43" t="s">
        <v>17</v>
      </c>
      <c r="F2" s="40" t="s">
        <v>18</v>
      </c>
      <c r="G2" s="44" t="s">
        <v>19</v>
      </c>
      <c r="H2" s="43" t="s">
        <v>17</v>
      </c>
      <c r="I2" s="40" t="s">
        <v>18</v>
      </c>
      <c r="J2" s="44" t="s">
        <v>19</v>
      </c>
      <c r="K2" s="43" t="s">
        <v>17</v>
      </c>
      <c r="L2" s="40" t="s">
        <v>18</v>
      </c>
      <c r="M2" s="44" t="s">
        <v>19</v>
      </c>
      <c r="N2" s="43" t="s">
        <v>17</v>
      </c>
      <c r="O2" s="40" t="s">
        <v>18</v>
      </c>
      <c r="P2" s="44" t="s">
        <v>19</v>
      </c>
      <c r="Q2" s="43" t="s">
        <v>17</v>
      </c>
      <c r="R2" s="40" t="s">
        <v>18</v>
      </c>
      <c r="S2" s="44" t="s">
        <v>19</v>
      </c>
      <c r="T2" s="43" t="s">
        <v>17</v>
      </c>
      <c r="U2" s="40" t="s">
        <v>18</v>
      </c>
      <c r="V2" s="44" t="s">
        <v>19</v>
      </c>
      <c r="W2" s="43" t="s">
        <v>17</v>
      </c>
      <c r="X2" s="40" t="s">
        <v>18</v>
      </c>
      <c r="Y2" s="44" t="s">
        <v>19</v>
      </c>
      <c r="AA2" s="68" t="str">
        <f>A2</f>
        <v>Protein Name</v>
      </c>
      <c r="AB2" s="69" t="s">
        <v>42</v>
      </c>
      <c r="AC2" s="69" t="s">
        <v>44</v>
      </c>
      <c r="AD2" s="69" t="s">
        <v>43</v>
      </c>
      <c r="AE2" s="70" t="s">
        <v>73</v>
      </c>
    </row>
    <row r="3" spans="1:31" x14ac:dyDescent="0.2">
      <c r="A3" s="1" t="s">
        <v>1</v>
      </c>
      <c r="B3" s="81">
        <f>VLOOKUP($A:$A,'293T 17 Peptide_Ratio_Results'!$A:$E,3,FALSE)</f>
        <v>0.1153</v>
      </c>
      <c r="C3" s="81">
        <f>VLOOKUP($A:$A,'293T 17 Peptide_Ratio_Results'!$A:$E,4,FALSE)</f>
        <v>0.1133</v>
      </c>
      <c r="D3" s="81">
        <f>VLOOKUP($A:$A,'293T 17 Peptide_Ratio_Results'!$A:$E,5,FALSE)</f>
        <v>0.1094</v>
      </c>
      <c r="E3" s="80">
        <v>8.8809946714031973</v>
      </c>
      <c r="F3" s="80">
        <v>8.3125519534497094</v>
      </c>
      <c r="G3" s="80">
        <v>9.0171325518485119</v>
      </c>
      <c r="H3" s="45">
        <f>$B26/E3</f>
        <v>2.8149999999999999</v>
      </c>
      <c r="I3" s="41">
        <f t="shared" ref="I3:J8" si="0">$B26/F3</f>
        <v>3.0074999999999998</v>
      </c>
      <c r="J3" s="46">
        <f t="shared" si="0"/>
        <v>2.7725</v>
      </c>
      <c r="K3" s="45">
        <f>H3*(500*10^-6)</f>
        <v>1.4074999999999999E-3</v>
      </c>
      <c r="L3" s="41">
        <f t="shared" ref="L3:M8" si="1">I3*(500*10^-6)</f>
        <v>1.5037499999999999E-3</v>
      </c>
      <c r="M3" s="46">
        <f t="shared" si="1"/>
        <v>1.3862500000000001E-3</v>
      </c>
      <c r="N3" s="45">
        <f>K3/$B$14</f>
        <v>1.8756663113006395E-10</v>
      </c>
      <c r="O3" s="41">
        <f t="shared" ref="O3:P8" si="2">L3/$B$14</f>
        <v>2.0039312366737738E-10</v>
      </c>
      <c r="P3" s="46">
        <f t="shared" si="2"/>
        <v>1.8473480810234543E-10</v>
      </c>
      <c r="Q3" s="45">
        <f>N3/10^9</f>
        <v>1.8756663113006395E-19</v>
      </c>
      <c r="R3" s="41">
        <f t="shared" ref="R3:S8" si="3">O3/10^9</f>
        <v>2.0039312366737737E-19</v>
      </c>
      <c r="S3" s="46">
        <f t="shared" si="3"/>
        <v>1.8473480810234543E-19</v>
      </c>
      <c r="T3" s="45">
        <f>Q3/$B$22</f>
        <v>1.3167808732604915E-7</v>
      </c>
      <c r="U3" s="41">
        <f t="shared" ref="U3:V8" si="4">R3/$B$22</f>
        <v>1.4068271674354987E-7</v>
      </c>
      <c r="V3" s="46">
        <f t="shared" si="4"/>
        <v>1.2969005225984773E-7</v>
      </c>
      <c r="W3" s="45">
        <f>T3*10^9</f>
        <v>131.67808732604917</v>
      </c>
      <c r="X3" s="41">
        <f t="shared" ref="X3:Y8" si="5">U3*10^9</f>
        <v>140.68271674354986</v>
      </c>
      <c r="Y3" s="46">
        <f t="shared" si="5"/>
        <v>129.69005225984773</v>
      </c>
      <c r="AA3" s="71" t="str">
        <f t="shared" ref="AA3:AA8" si="6">A3</f>
        <v>UB2R1</v>
      </c>
      <c r="AB3" s="74">
        <f>AVERAGE(W3:Y3)</f>
        <v>134.01695210981558</v>
      </c>
      <c r="AC3" s="74">
        <f>AD3/SQRT(3)</f>
        <v>3.3819316211483148</v>
      </c>
      <c r="AD3" s="74">
        <f>STDEV(W3:Y3)</f>
        <v>5.8576773955526606</v>
      </c>
      <c r="AE3" s="75">
        <f>_xlfn.CONFIDENCE.T(0.05,AD3,3)</f>
        <v>14.551277321559827</v>
      </c>
    </row>
    <row r="4" spans="1:31" x14ac:dyDescent="0.2">
      <c r="A4" s="1" t="s">
        <v>2</v>
      </c>
      <c r="B4" s="81">
        <f>VLOOKUP($A:$A,'293T 17 Peptide_Ratio_Results'!$A:$E,3,FALSE)</f>
        <v>7.9299999999999995E-2</v>
      </c>
      <c r="C4" s="81">
        <f>VLOOKUP($A:$A,'293T 17 Peptide_Ratio_Results'!$A:$E,4,FALSE)</f>
        <v>8.9300000000000004E-2</v>
      </c>
      <c r="D4" s="81">
        <f>VLOOKUP($A:$A,'293T 17 Peptide_Ratio_Results'!$A:$E,5,FALSE)</f>
        <v>7.8799999999999995E-2</v>
      </c>
      <c r="E4" s="80">
        <v>12.610340479192939</v>
      </c>
      <c r="F4" s="80">
        <v>10.559662090813093</v>
      </c>
      <c r="G4" s="80">
        <v>12.69035532994924</v>
      </c>
      <c r="H4" s="45">
        <f t="shared" ref="H4:I8" si="7">$B27/E4</f>
        <v>1.9824999999999999</v>
      </c>
      <c r="I4" s="41">
        <f>$B27/F4</f>
        <v>2.3675000000000002</v>
      </c>
      <c r="J4" s="46">
        <f t="shared" si="0"/>
        <v>1.9699999999999998</v>
      </c>
      <c r="K4" s="45">
        <f t="shared" ref="K4:K8" si="8">H4*(500*10^-6)</f>
        <v>9.9124999999999994E-4</v>
      </c>
      <c r="L4" s="41">
        <f t="shared" si="1"/>
        <v>1.1837500000000001E-3</v>
      </c>
      <c r="M4" s="46">
        <f t="shared" si="1"/>
        <v>9.8499999999999998E-4</v>
      </c>
      <c r="N4" s="45">
        <f t="shared" ref="N4:N8" si="9">K4/$B$14</f>
        <v>1.3209621535181236E-10</v>
      </c>
      <c r="O4" s="41">
        <f t="shared" si="2"/>
        <v>1.5774920042643924E-10</v>
      </c>
      <c r="P4" s="46">
        <f t="shared" si="2"/>
        <v>1.312633262260128E-10</v>
      </c>
      <c r="Q4" s="45">
        <f t="shared" ref="Q4:Q8" si="10">N4/10^9</f>
        <v>1.3209621535181236E-19</v>
      </c>
      <c r="R4" s="41">
        <f t="shared" si="3"/>
        <v>1.5774920042643924E-19</v>
      </c>
      <c r="S4" s="46">
        <f t="shared" si="3"/>
        <v>1.312633262260128E-19</v>
      </c>
      <c r="T4" s="45">
        <f t="shared" ref="T4:T8" si="11">Q4/$B$22</f>
        <v>9.2735988676338352E-8</v>
      </c>
      <c r="U4" s="41">
        <f t="shared" si="4"/>
        <v>1.1074524751133976E-7</v>
      </c>
      <c r="V4" s="46">
        <f t="shared" si="4"/>
        <v>9.2151272480396757E-8</v>
      </c>
      <c r="W4" s="45">
        <f t="shared" ref="W4:W8" si="12">T4*10^9</f>
        <v>92.735988676338351</v>
      </c>
      <c r="X4" s="41">
        <f t="shared" si="5"/>
        <v>110.74524751133976</v>
      </c>
      <c r="Y4" s="46">
        <f t="shared" si="5"/>
        <v>92.151272480396756</v>
      </c>
      <c r="AA4" s="71" t="str">
        <f t="shared" si="6"/>
        <v>UB2R2</v>
      </c>
      <c r="AB4" s="74">
        <f t="shared" ref="AB4:AB8" si="13">AVERAGE(W4:Y4)</f>
        <v>98.544169556024954</v>
      </c>
      <c r="AC4" s="74">
        <f t="shared" ref="AC4:AC8" si="14">AD4/SQRT(3)</f>
        <v>6.1028736594930066</v>
      </c>
      <c r="AD4" s="74">
        <f t="shared" ref="AD4:AD8" si="15">STDEV(W4:Y4)</f>
        <v>10.570487250415692</v>
      </c>
      <c r="AE4" s="75">
        <f t="shared" ref="AE4:AE8" si="16">_xlfn.CONFIDENCE.T(0.05,AD4,3)</f>
        <v>26.258546010333685</v>
      </c>
    </row>
    <row r="5" spans="1:31" x14ac:dyDescent="0.2">
      <c r="A5" s="1" t="s">
        <v>22</v>
      </c>
      <c r="B5" s="81">
        <f>VLOOKUP($A:$A,'293T 17 Peptide_Ratio_Results'!$A:$E,3,FALSE)</f>
        <v>2.0438000000000001</v>
      </c>
      <c r="C5" s="81">
        <f>VLOOKUP($A:$A,'293T 17 Peptide_Ratio_Results'!$A:$E,4,FALSE)</f>
        <v>2.6396000000000002</v>
      </c>
      <c r="D5" s="81">
        <f>VLOOKUP($A:$A,'293T 17 Peptide_Ratio_Results'!$A:$E,5,FALSE)</f>
        <v>2.4468999999999999</v>
      </c>
      <c r="E5" s="80">
        <v>0.48928466581857322</v>
      </c>
      <c r="F5" s="80">
        <v>0.38996997231213198</v>
      </c>
      <c r="G5" s="80">
        <v>0.39168070189181775</v>
      </c>
      <c r="H5" s="45">
        <f t="shared" si="7"/>
        <v>30.657000000000004</v>
      </c>
      <c r="I5" s="41">
        <f>$B28/F5</f>
        <v>38.464500000000001</v>
      </c>
      <c r="J5" s="46">
        <f t="shared" si="0"/>
        <v>38.296500000000002</v>
      </c>
      <c r="K5" s="45">
        <f t="shared" si="8"/>
        <v>1.5328500000000002E-2</v>
      </c>
      <c r="L5" s="41">
        <f t="shared" si="1"/>
        <v>1.9232249999999999E-2</v>
      </c>
      <c r="M5" s="46">
        <f t="shared" si="1"/>
        <v>1.9148250000000002E-2</v>
      </c>
      <c r="N5" s="45">
        <f t="shared" si="9"/>
        <v>2.0427105543710023E-9</v>
      </c>
      <c r="O5" s="41">
        <f t="shared" si="2"/>
        <v>2.5629331023454157E-9</v>
      </c>
      <c r="P5" s="46">
        <f t="shared" si="2"/>
        <v>2.5517390724946699E-9</v>
      </c>
      <c r="Q5" s="45">
        <f t="shared" si="10"/>
        <v>2.0427105543710024E-18</v>
      </c>
      <c r="R5" s="41">
        <f t="shared" si="3"/>
        <v>2.5629331023454157E-18</v>
      </c>
      <c r="S5" s="46">
        <f t="shared" si="3"/>
        <v>2.55173907249467E-18</v>
      </c>
      <c r="T5" s="45">
        <f t="shared" si="11"/>
        <v>1.4340515535185401E-6</v>
      </c>
      <c r="U5" s="41">
        <f t="shared" si="4"/>
        <v>1.7992652895036655E-6</v>
      </c>
      <c r="V5" s="46">
        <f t="shared" si="4"/>
        <v>1.7914067038302108E-6</v>
      </c>
      <c r="W5" s="45">
        <f t="shared" si="12"/>
        <v>1434.05155351854</v>
      </c>
      <c r="X5" s="41">
        <f t="shared" si="5"/>
        <v>1799.2652895036656</v>
      </c>
      <c r="Y5" s="46">
        <f t="shared" si="5"/>
        <v>1791.4067038302107</v>
      </c>
      <c r="AA5" s="71" t="str">
        <f t="shared" si="6"/>
        <v>UBE2D</v>
      </c>
      <c r="AB5" s="74">
        <f t="shared" si="13"/>
        <v>1674.9078489508056</v>
      </c>
      <c r="AC5" s="74">
        <f t="shared" si="14"/>
        <v>120.44951311540127</v>
      </c>
      <c r="AD5" s="74">
        <f t="shared" si="15"/>
        <v>208.62467646280885</v>
      </c>
      <c r="AE5" s="75">
        <f t="shared" si="16"/>
        <v>518.25242640297506</v>
      </c>
    </row>
    <row r="6" spans="1:31" x14ac:dyDescent="0.2">
      <c r="A6" s="1" t="s">
        <v>3</v>
      </c>
      <c r="B6" s="81">
        <f>VLOOKUP($A:$A,'293T 17 Peptide_Ratio_Results'!$A:$E,3,FALSE)</f>
        <v>0.1004</v>
      </c>
      <c r="C6" s="81">
        <f>VLOOKUP($A:$A,'293T 17 Peptide_Ratio_Results'!$A:$E,4,FALSE)</f>
        <v>0.10969999999999901</v>
      </c>
      <c r="D6" s="81">
        <f>VLOOKUP($A:$A,'293T 17 Peptide_Ratio_Results'!$A:$E,5,FALSE)</f>
        <v>0.10235</v>
      </c>
      <c r="E6" s="80">
        <v>7.2798028028842658</v>
      </c>
      <c r="F6" s="80">
        <v>8.0483531373155142</v>
      </c>
      <c r="G6" s="80">
        <v>8.5234075617253406</v>
      </c>
      <c r="H6" s="45">
        <f t="shared" si="7"/>
        <v>3.4341589569012738</v>
      </c>
      <c r="I6" s="41">
        <f t="shared" si="7"/>
        <v>3.1062255312940477</v>
      </c>
      <c r="J6" s="46">
        <f t="shared" si="0"/>
        <v>2.933099211665458</v>
      </c>
      <c r="K6" s="45">
        <f t="shared" si="8"/>
        <v>1.717079478450637E-3</v>
      </c>
      <c r="L6" s="41">
        <f t="shared" si="1"/>
        <v>1.5531127656470238E-3</v>
      </c>
      <c r="M6" s="46">
        <f t="shared" si="1"/>
        <v>1.466549605832729E-3</v>
      </c>
      <c r="N6" s="45">
        <f t="shared" si="9"/>
        <v>2.2882189211762221E-10</v>
      </c>
      <c r="O6" s="41">
        <f t="shared" si="2"/>
        <v>2.0697131738366523E-10</v>
      </c>
      <c r="P6" s="46">
        <f t="shared" si="2"/>
        <v>1.9543571506299693E-10</v>
      </c>
      <c r="Q6" s="45">
        <f t="shared" si="10"/>
        <v>2.288218921176222E-19</v>
      </c>
      <c r="R6" s="41">
        <f t="shared" si="3"/>
        <v>2.0697131738366523E-19</v>
      </c>
      <c r="S6" s="46">
        <f t="shared" si="3"/>
        <v>1.9543571506299692E-19</v>
      </c>
      <c r="T6" s="45">
        <f t="shared" si="11"/>
        <v>1.6064066892304794E-7</v>
      </c>
      <c r="U6" s="41">
        <f t="shared" si="4"/>
        <v>1.4530083011159543E-7</v>
      </c>
      <c r="V6" s="46">
        <f t="shared" si="4"/>
        <v>1.3720244906914748E-7</v>
      </c>
      <c r="W6" s="45">
        <f t="shared" si="12"/>
        <v>160.64066892304794</v>
      </c>
      <c r="X6" s="41">
        <f t="shared" si="5"/>
        <v>145.30083011159542</v>
      </c>
      <c r="Y6" s="46">
        <f t="shared" si="5"/>
        <v>137.20244906914749</v>
      </c>
      <c r="AA6" s="71" t="str">
        <f t="shared" si="6"/>
        <v>ARIH1</v>
      </c>
      <c r="AB6" s="74">
        <f t="shared" si="13"/>
        <v>147.71464936793029</v>
      </c>
      <c r="AC6" s="74">
        <f t="shared" si="14"/>
        <v>6.8728312950736949</v>
      </c>
      <c r="AD6" s="74">
        <f t="shared" si="15"/>
        <v>11.904092994917045</v>
      </c>
      <c r="AE6" s="75">
        <f t="shared" si="16"/>
        <v>29.571406332856377</v>
      </c>
    </row>
    <row r="7" spans="1:31" x14ac:dyDescent="0.2">
      <c r="A7" s="1" t="s">
        <v>4</v>
      </c>
      <c r="B7" s="81">
        <f>VLOOKUP($A:$A,'293T 17 Peptide_Ratio_Results'!$A:$E,3,FALSE)</f>
        <v>0.27006666666666601</v>
      </c>
      <c r="C7" s="81">
        <f>VLOOKUP($A:$A,'293T 17 Peptide_Ratio_Results'!$A:$E,4,FALSE)</f>
        <v>0.26436666666666597</v>
      </c>
      <c r="D7" s="81">
        <f>VLOOKUP($A:$A,'293T 17 Peptide_Ratio_Results'!$A:$E,5,FALSE)</f>
        <v>0.27766666666666601</v>
      </c>
      <c r="E7" s="80">
        <v>3.5181537249787191</v>
      </c>
      <c r="F7" s="80">
        <v>3.8475716398281916</v>
      </c>
      <c r="G7" s="80">
        <v>3.8044575557549689</v>
      </c>
      <c r="H7" s="45">
        <f>$B30/E7</f>
        <v>7.7881758848288349</v>
      </c>
      <c r="I7" s="41">
        <f t="shared" si="7"/>
        <v>7.121374873535431</v>
      </c>
      <c r="J7" s="46">
        <f t="shared" si="0"/>
        <v>7.2020779831154282</v>
      </c>
      <c r="K7" s="45">
        <f t="shared" si="8"/>
        <v>3.8940879424144174E-3</v>
      </c>
      <c r="L7" s="41">
        <f t="shared" si="1"/>
        <v>3.5606874367677156E-3</v>
      </c>
      <c r="M7" s="46">
        <f t="shared" si="1"/>
        <v>3.6010389915577144E-3</v>
      </c>
      <c r="N7" s="45">
        <f t="shared" si="9"/>
        <v>5.189349603430727E-10</v>
      </c>
      <c r="O7" s="41">
        <f t="shared" si="2"/>
        <v>4.7450525543279796E-10</v>
      </c>
      <c r="P7" s="46">
        <f t="shared" si="2"/>
        <v>4.7988259482378921E-10</v>
      </c>
      <c r="Q7" s="45">
        <f t="shared" si="10"/>
        <v>5.1893496034307265E-19</v>
      </c>
      <c r="R7" s="41">
        <f t="shared" si="3"/>
        <v>4.74505255432798E-19</v>
      </c>
      <c r="S7" s="46">
        <f t="shared" si="3"/>
        <v>4.7988259482378926E-19</v>
      </c>
      <c r="T7" s="45">
        <f t="shared" si="11"/>
        <v>3.6430980613610003E-7</v>
      </c>
      <c r="U7" s="41">
        <f t="shared" si="4"/>
        <v>3.3311865807422064E-7</v>
      </c>
      <c r="V7" s="46">
        <f t="shared" si="4"/>
        <v>3.3689373129296257E-7</v>
      </c>
      <c r="W7" s="45">
        <f t="shared" si="12"/>
        <v>364.30980613610001</v>
      </c>
      <c r="X7" s="41">
        <f t="shared" si="5"/>
        <v>333.11865807422066</v>
      </c>
      <c r="Y7" s="46">
        <f t="shared" si="5"/>
        <v>336.89373129296257</v>
      </c>
      <c r="AA7" s="71" t="str">
        <f t="shared" si="6"/>
        <v>Cul1</v>
      </c>
      <c r="AB7" s="74">
        <f t="shared" si="13"/>
        <v>344.77406516776108</v>
      </c>
      <c r="AC7" s="74">
        <f t="shared" si="14"/>
        <v>9.8284735308226221</v>
      </c>
      <c r="AD7" s="74">
        <f t="shared" si="15"/>
        <v>17.023415516230656</v>
      </c>
      <c r="AE7" s="75">
        <f t="shared" si="16"/>
        <v>42.288508466664304</v>
      </c>
    </row>
    <row r="8" spans="1:31" ht="17" thickBot="1" x14ac:dyDescent="0.25">
      <c r="A8" s="1" t="s">
        <v>5</v>
      </c>
      <c r="B8" s="81">
        <f>VLOOKUP($A:$A,'293T 17 Peptide_Ratio_Results'!$A:$E,3,FALSE)</f>
        <v>0.23704999999999901</v>
      </c>
      <c r="C8" s="81">
        <f>VLOOKUP($A:$A,'293T 17 Peptide_Ratio_Results'!$A:$E,4,FALSE)</f>
        <v>0.23619999999999999</v>
      </c>
      <c r="D8" s="81">
        <f>VLOOKUP($A:$A,'293T 17 Peptide_Ratio_Results'!$A:$E,5,FALSE)</f>
        <v>0.23924999999999999</v>
      </c>
      <c r="E8" s="80">
        <v>4.2444821731748723</v>
      </c>
      <c r="F8" s="80">
        <v>4.1373603640877121</v>
      </c>
      <c r="G8" s="80">
        <v>4.1841004184100417</v>
      </c>
      <c r="H8" s="47">
        <f>$B31/E8</f>
        <v>24.738000000000003</v>
      </c>
      <c r="I8" s="48">
        <f t="shared" si="7"/>
        <v>25.378499999999999</v>
      </c>
      <c r="J8" s="49">
        <f t="shared" si="0"/>
        <v>25.095000000000002</v>
      </c>
      <c r="K8" s="47">
        <f t="shared" si="8"/>
        <v>1.2369000000000002E-2</v>
      </c>
      <c r="L8" s="48">
        <f t="shared" si="1"/>
        <v>1.2689249999999999E-2</v>
      </c>
      <c r="M8" s="49">
        <f t="shared" si="1"/>
        <v>1.2547500000000001E-2</v>
      </c>
      <c r="N8" s="47">
        <f t="shared" si="9"/>
        <v>1.6483208955223882E-9</v>
      </c>
      <c r="O8" s="48">
        <f t="shared" si="2"/>
        <v>1.690998134328358E-9</v>
      </c>
      <c r="P8" s="49">
        <f t="shared" si="2"/>
        <v>1.672108208955224E-9</v>
      </c>
      <c r="Q8" s="47">
        <f t="shared" si="10"/>
        <v>1.6483208955223882E-18</v>
      </c>
      <c r="R8" s="48">
        <f t="shared" si="3"/>
        <v>1.6909981343283581E-18</v>
      </c>
      <c r="S8" s="49">
        <f t="shared" si="3"/>
        <v>1.6721082089552241E-18</v>
      </c>
      <c r="T8" s="47">
        <f t="shared" si="11"/>
        <v>1.1571767404162716E-6</v>
      </c>
      <c r="U8" s="48">
        <f t="shared" si="4"/>
        <v>1.1871375982963193E-6</v>
      </c>
      <c r="V8" s="49">
        <f t="shared" si="4"/>
        <v>1.1738762349723638E-6</v>
      </c>
      <c r="W8" s="47">
        <f t="shared" si="12"/>
        <v>1157.1767404162715</v>
      </c>
      <c r="X8" s="48">
        <f t="shared" si="5"/>
        <v>1187.1375982963193</v>
      </c>
      <c r="Y8" s="49">
        <f t="shared" si="5"/>
        <v>1173.8762349723638</v>
      </c>
      <c r="AA8" s="72" t="str">
        <f t="shared" si="6"/>
        <v>Skp1</v>
      </c>
      <c r="AB8" s="76">
        <f t="shared" si="13"/>
        <v>1172.7301912283183</v>
      </c>
      <c r="AC8" s="76">
        <f t="shared" si="14"/>
        <v>8.6679161937295159</v>
      </c>
      <c r="AD8" s="76">
        <f t="shared" si="15"/>
        <v>15.013271243288555</v>
      </c>
      <c r="AE8" s="77">
        <f t="shared" si="16"/>
        <v>37.295033272189883</v>
      </c>
    </row>
    <row r="12" spans="1:31" x14ac:dyDescent="0.2">
      <c r="A12" s="156" t="s">
        <v>16</v>
      </c>
      <c r="B12" s="156"/>
      <c r="C12" s="24"/>
    </row>
    <row r="13" spans="1:31" ht="19" x14ac:dyDescent="0.25">
      <c r="A13" s="18" t="s">
        <v>45</v>
      </c>
      <c r="B13" s="18" t="s">
        <v>35</v>
      </c>
      <c r="C13" s="14"/>
    </row>
    <row r="14" spans="1:31" ht="28" customHeight="1" x14ac:dyDescent="0.2">
      <c r="A14" s="19" t="s">
        <v>7</v>
      </c>
      <c r="B14" s="81">
        <v>7504000</v>
      </c>
      <c r="C14" s="15"/>
    </row>
    <row r="15" spans="1:31" ht="28" customHeight="1" x14ac:dyDescent="0.2">
      <c r="A15" s="20" t="s">
        <v>8</v>
      </c>
      <c r="B15" s="54">
        <v>7358000</v>
      </c>
      <c r="C15" s="15"/>
    </row>
    <row r="16" spans="1:31" ht="27" customHeight="1" x14ac:dyDescent="0.2">
      <c r="A16" s="20" t="s">
        <v>9</v>
      </c>
      <c r="B16" s="54">
        <v>0.98099999999999998</v>
      </c>
      <c r="C16" s="16"/>
    </row>
    <row r="17" spans="1:4" ht="31" customHeight="1" x14ac:dyDescent="0.2">
      <c r="A17" s="20" t="s">
        <v>10</v>
      </c>
      <c r="B17" s="54">
        <v>0.29699999999999999</v>
      </c>
      <c r="C17" s="17"/>
    </row>
    <row r="18" spans="1:4" ht="30" customHeight="1" x14ac:dyDescent="0.2">
      <c r="A18" s="20" t="s">
        <v>11</v>
      </c>
      <c r="B18" s="54">
        <v>13.96</v>
      </c>
      <c r="C18" s="15"/>
    </row>
    <row r="19" spans="1:4" ht="29" customHeight="1" x14ac:dyDescent="0.2">
      <c r="A19" s="21" t="s">
        <v>12</v>
      </c>
      <c r="B19" s="5">
        <f>B18/1000000</f>
        <v>1.396E-5</v>
      </c>
      <c r="C19" s="15"/>
    </row>
    <row r="20" spans="1:4" ht="27" customHeight="1" x14ac:dyDescent="0.2">
      <c r="A20" s="11" t="s">
        <v>13</v>
      </c>
      <c r="B20" s="22">
        <v>3.1415000000000002</v>
      </c>
      <c r="C20" s="10"/>
    </row>
    <row r="21" spans="1:4" ht="27" customHeight="1" x14ac:dyDescent="0.2">
      <c r="A21" s="11" t="s">
        <v>14</v>
      </c>
      <c r="B21" s="5">
        <f>(4/3)*B20*((B19/2)^3)</f>
        <v>1.4244331379573332E-15</v>
      </c>
      <c r="C21" s="15"/>
    </row>
    <row r="22" spans="1:4" ht="30" customHeight="1" x14ac:dyDescent="0.2">
      <c r="A22" s="23" t="s">
        <v>15</v>
      </c>
      <c r="B22" s="12">
        <f>B21*1000</f>
        <v>1.4244331379573331E-12</v>
      </c>
      <c r="C22" s="15"/>
    </row>
    <row r="23" spans="1:4" ht="17" thickBot="1" x14ac:dyDescent="0.25">
      <c r="A23" s="9"/>
      <c r="B23" s="15"/>
      <c r="C23" s="15"/>
    </row>
    <row r="24" spans="1:4" x14ac:dyDescent="0.2">
      <c r="A24" s="157" t="s">
        <v>23</v>
      </c>
      <c r="B24" s="159" t="s">
        <v>24</v>
      </c>
      <c r="C24" s="159"/>
      <c r="D24" s="160"/>
    </row>
    <row r="25" spans="1:4" x14ac:dyDescent="0.2">
      <c r="A25" s="158"/>
      <c r="B25" s="150" t="s">
        <v>25</v>
      </c>
      <c r="C25" s="150"/>
      <c r="D25" s="161"/>
    </row>
    <row r="26" spans="1:4" x14ac:dyDescent="0.2">
      <c r="A26" s="27" t="s">
        <v>1</v>
      </c>
      <c r="B26" s="150">
        <v>25</v>
      </c>
      <c r="C26" s="150"/>
      <c r="D26" s="161"/>
    </row>
    <row r="27" spans="1:4" x14ac:dyDescent="0.2">
      <c r="A27" s="27" t="s">
        <v>21</v>
      </c>
      <c r="B27" s="150">
        <v>25</v>
      </c>
      <c r="C27" s="150"/>
      <c r="D27" s="161"/>
    </row>
    <row r="28" spans="1:4" x14ac:dyDescent="0.2">
      <c r="A28" s="27" t="s">
        <v>22</v>
      </c>
      <c r="B28" s="150">
        <v>15</v>
      </c>
      <c r="C28" s="150"/>
      <c r="D28" s="161"/>
    </row>
    <row r="29" spans="1:4" x14ac:dyDescent="0.2">
      <c r="A29" s="27" t="s">
        <v>3</v>
      </c>
      <c r="B29" s="150">
        <v>25</v>
      </c>
      <c r="C29" s="150"/>
      <c r="D29" s="161"/>
    </row>
    <row r="30" spans="1:4" x14ac:dyDescent="0.2">
      <c r="A30" s="27" t="s">
        <v>4</v>
      </c>
      <c r="B30" s="150">
        <v>27.4</v>
      </c>
      <c r="C30" s="150"/>
      <c r="D30" s="161"/>
    </row>
    <row r="31" spans="1:4" ht="17" thickBot="1" x14ac:dyDescent="0.25">
      <c r="A31" s="28" t="s">
        <v>5</v>
      </c>
      <c r="B31" s="154">
        <v>105</v>
      </c>
      <c r="C31" s="154"/>
      <c r="D31" s="155"/>
    </row>
    <row r="32" spans="1:4" x14ac:dyDescent="0.2">
      <c r="A32" s="2"/>
      <c r="B32" s="1"/>
      <c r="C32" s="25"/>
      <c r="D32" s="2"/>
    </row>
    <row r="33" spans="1:4" x14ac:dyDescent="0.2">
      <c r="A33" s="2"/>
      <c r="B33" s="1"/>
      <c r="C33" s="25"/>
      <c r="D33" s="2"/>
    </row>
    <row r="34" spans="1:4" x14ac:dyDescent="0.2">
      <c r="A34" s="2"/>
      <c r="B34" s="1"/>
      <c r="C34" s="25"/>
      <c r="D34" s="2"/>
    </row>
    <row r="35" spans="1:4" x14ac:dyDescent="0.2">
      <c r="A35" s="2"/>
      <c r="B35" s="1"/>
      <c r="C35" s="25"/>
      <c r="D35" s="2"/>
    </row>
    <row r="36" spans="1:4" x14ac:dyDescent="0.2">
      <c r="A36" s="2"/>
      <c r="B36" s="1"/>
      <c r="C36" s="25"/>
      <c r="D36" s="2"/>
    </row>
    <row r="37" spans="1:4" x14ac:dyDescent="0.2">
      <c r="A37" s="2"/>
      <c r="B37" s="1"/>
      <c r="C37" s="25"/>
      <c r="D37" s="2"/>
    </row>
    <row r="38" spans="1:4" x14ac:dyDescent="0.2">
      <c r="A38" s="2"/>
      <c r="B38" s="1"/>
      <c r="C38" s="25"/>
      <c r="D38" s="2"/>
    </row>
    <row r="39" spans="1:4" x14ac:dyDescent="0.2">
      <c r="A39" s="2"/>
      <c r="B39" s="1"/>
      <c r="C39" s="25"/>
      <c r="D39" s="2"/>
    </row>
  </sheetData>
  <mergeCells count="18">
    <mergeCell ref="B29:D29"/>
    <mergeCell ref="B30:D30"/>
    <mergeCell ref="B31:D31"/>
    <mergeCell ref="T1:V1"/>
    <mergeCell ref="W1:Y1"/>
    <mergeCell ref="A12:B12"/>
    <mergeCell ref="A24:A25"/>
    <mergeCell ref="B24:D24"/>
    <mergeCell ref="B25:D25"/>
    <mergeCell ref="B1:D1"/>
    <mergeCell ref="E1:G1"/>
    <mergeCell ref="H1:J1"/>
    <mergeCell ref="K1:M1"/>
    <mergeCell ref="N1:P1"/>
    <mergeCell ref="Q1:S1"/>
    <mergeCell ref="B26:D26"/>
    <mergeCell ref="B27:D27"/>
    <mergeCell ref="B28:D2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D7432-B65B-E848-AF53-BFB126CEB82C}">
  <dimension ref="A1:AE39"/>
  <sheetViews>
    <sheetView zoomScale="110" zoomScaleNormal="110" workbookViewId="0">
      <selection activeCell="AF17" sqref="AF17"/>
    </sheetView>
  </sheetViews>
  <sheetFormatPr baseColWidth="10" defaultRowHeight="16" x14ac:dyDescent="0.2"/>
  <cols>
    <col min="1" max="1" width="24.33203125" customWidth="1"/>
    <col min="2" max="2" width="10.1640625" customWidth="1"/>
    <col min="3" max="3" width="10" customWidth="1"/>
    <col min="4" max="4" width="9.83203125" customWidth="1"/>
    <col min="14" max="14" width="12.1640625" bestFit="1" customWidth="1"/>
    <col min="17" max="17" width="12.1640625" bestFit="1" customWidth="1"/>
    <col min="20" max="20" width="12.1640625" bestFit="1" customWidth="1"/>
    <col min="27" max="27" width="14.83203125" customWidth="1"/>
    <col min="28" max="28" width="7.1640625" customWidth="1"/>
    <col min="29" max="30" width="8.6640625" customWidth="1"/>
  </cols>
  <sheetData>
    <row r="1" spans="1:31" ht="17" thickBot="1" x14ac:dyDescent="0.25">
      <c r="A1" s="83"/>
      <c r="B1" s="147" t="s">
        <v>30</v>
      </c>
      <c r="C1" s="148"/>
      <c r="D1" s="149"/>
      <c r="E1" s="148" t="s">
        <v>31</v>
      </c>
      <c r="F1" s="148"/>
      <c r="G1" s="149"/>
      <c r="H1" s="147" t="s">
        <v>26</v>
      </c>
      <c r="I1" s="148"/>
      <c r="J1" s="149"/>
      <c r="K1" s="147" t="s">
        <v>27</v>
      </c>
      <c r="L1" s="148"/>
      <c r="M1" s="149"/>
      <c r="N1" s="147" t="s">
        <v>28</v>
      </c>
      <c r="O1" s="148"/>
      <c r="P1" s="149"/>
      <c r="Q1" s="147" t="s">
        <v>29</v>
      </c>
      <c r="R1" s="148"/>
      <c r="S1" s="149"/>
      <c r="T1" s="147" t="s">
        <v>32</v>
      </c>
      <c r="U1" s="148"/>
      <c r="V1" s="149"/>
      <c r="W1" s="147" t="s">
        <v>33</v>
      </c>
      <c r="X1" s="148"/>
      <c r="Y1" s="149"/>
    </row>
    <row r="2" spans="1:31" x14ac:dyDescent="0.2">
      <c r="A2" s="84" t="s">
        <v>0</v>
      </c>
      <c r="B2" s="43" t="s">
        <v>17</v>
      </c>
      <c r="C2" s="40" t="s">
        <v>18</v>
      </c>
      <c r="D2" s="44" t="s">
        <v>19</v>
      </c>
      <c r="E2" s="40" t="s">
        <v>17</v>
      </c>
      <c r="F2" s="40" t="s">
        <v>18</v>
      </c>
      <c r="G2" s="44" t="s">
        <v>19</v>
      </c>
      <c r="H2" s="43" t="s">
        <v>17</v>
      </c>
      <c r="I2" s="40" t="s">
        <v>18</v>
      </c>
      <c r="J2" s="44" t="s">
        <v>19</v>
      </c>
      <c r="K2" s="43" t="s">
        <v>17</v>
      </c>
      <c r="L2" s="40" t="s">
        <v>18</v>
      </c>
      <c r="M2" s="44" t="s">
        <v>19</v>
      </c>
      <c r="N2" s="43" t="s">
        <v>17</v>
      </c>
      <c r="O2" s="40" t="s">
        <v>18</v>
      </c>
      <c r="P2" s="44" t="s">
        <v>19</v>
      </c>
      <c r="Q2" s="43" t="s">
        <v>17</v>
      </c>
      <c r="R2" s="40" t="s">
        <v>18</v>
      </c>
      <c r="S2" s="44" t="s">
        <v>19</v>
      </c>
      <c r="T2" s="43" t="s">
        <v>17</v>
      </c>
      <c r="U2" s="40" t="s">
        <v>18</v>
      </c>
      <c r="V2" s="44" t="s">
        <v>19</v>
      </c>
      <c r="W2" s="43" t="s">
        <v>17</v>
      </c>
      <c r="X2" s="40" t="s">
        <v>18</v>
      </c>
      <c r="Y2" s="44" t="s">
        <v>19</v>
      </c>
      <c r="AA2" s="68" t="str">
        <f>A2</f>
        <v>Protein Name</v>
      </c>
      <c r="AB2" s="69" t="s">
        <v>42</v>
      </c>
      <c r="AC2" s="69" t="s">
        <v>44</v>
      </c>
      <c r="AD2" s="69" t="s">
        <v>43</v>
      </c>
      <c r="AE2" s="70" t="s">
        <v>73</v>
      </c>
    </row>
    <row r="3" spans="1:31" x14ac:dyDescent="0.2">
      <c r="A3" s="84" t="s">
        <v>1</v>
      </c>
      <c r="B3" s="86">
        <f>VLOOKUP($A:$A,'MRC5 Peptide_Ratio_Results'!$A:$E,3,FALSE)</f>
        <v>0.21579999999999999</v>
      </c>
      <c r="C3" s="87">
        <f>VLOOKUP($A:$A,'MRC5 Peptide_Ratio_Results'!$A:$E,4,FALSE)</f>
        <v>0.21310000000000001</v>
      </c>
      <c r="D3" s="88">
        <f>VLOOKUP($A:$A,'MRC5 Peptide_Ratio_Results'!$A:$E,5,FALSE)</f>
        <v>0.20279999999999901</v>
      </c>
      <c r="E3" s="42">
        <f>1/B3</f>
        <v>4.6339202965708992</v>
      </c>
      <c r="F3" s="42">
        <f t="shared" ref="F3:G7" si="0">1/C3</f>
        <v>4.6926325668700137</v>
      </c>
      <c r="G3" s="50">
        <f t="shared" si="0"/>
        <v>4.9309664694280322</v>
      </c>
      <c r="H3" s="45">
        <f>$B26/E3</f>
        <v>1.7263999999999999</v>
      </c>
      <c r="I3" s="41">
        <f t="shared" ref="I3:J3" si="1">$B26/F3</f>
        <v>1.7048000000000001</v>
      </c>
      <c r="J3" s="46">
        <f t="shared" si="1"/>
        <v>1.6223999999999921</v>
      </c>
      <c r="K3" s="45">
        <f>H3*(500*10^-6)</f>
        <v>8.6319999999999995E-4</v>
      </c>
      <c r="L3" s="41">
        <f t="shared" ref="L3:M3" si="2">I3*(500*10^-6)</f>
        <v>8.5240000000000001E-4</v>
      </c>
      <c r="M3" s="46">
        <f t="shared" si="2"/>
        <v>8.1119999999999608E-4</v>
      </c>
      <c r="N3" s="45">
        <f>K3/$B$14</f>
        <v>2.4267641270733761E-10</v>
      </c>
      <c r="O3" s="41">
        <f t="shared" ref="O3:P3" si="3">L3/$B$14</f>
        <v>2.3964014619061005E-10</v>
      </c>
      <c r="P3" s="46">
        <f t="shared" si="3"/>
        <v>2.2805735170087043E-10</v>
      </c>
      <c r="Q3" s="45">
        <f>N3/10^9</f>
        <v>2.4267641270733758E-19</v>
      </c>
      <c r="R3" s="41">
        <f t="shared" ref="R3:S3" si="4">O3/10^9</f>
        <v>2.3964014619061007E-19</v>
      </c>
      <c r="S3" s="46">
        <f t="shared" si="4"/>
        <v>2.2805735170087041E-19</v>
      </c>
      <c r="T3" s="45">
        <f>Q3/$B$22</f>
        <v>8.4153010113025068E-8</v>
      </c>
      <c r="U3" s="41">
        <f t="shared" ref="U3:V3" si="5">R3/$B$22</f>
        <v>8.3100122590758327E-8</v>
      </c>
      <c r="V3" s="46">
        <f t="shared" si="5"/>
        <v>7.9083551672481024E-8</v>
      </c>
      <c r="W3" s="45">
        <f>T3*10^9</f>
        <v>84.153010113025061</v>
      </c>
      <c r="X3" s="41">
        <f t="shared" ref="X3:Y3" si="6">U3*10^9</f>
        <v>83.100122590758332</v>
      </c>
      <c r="Y3" s="46">
        <f t="shared" si="6"/>
        <v>79.083551672481022</v>
      </c>
      <c r="AA3" s="71" t="str">
        <f t="shared" ref="AA3:AA8" si="7">A3</f>
        <v>UB2R1</v>
      </c>
      <c r="AB3" s="74">
        <f>AVERAGE(W3:Y3)</f>
        <v>82.112228125421481</v>
      </c>
      <c r="AC3" s="74">
        <f>AD3/SQRT(3)</f>
        <v>1.544539178966033</v>
      </c>
      <c r="AD3" s="74">
        <f>STDEV(W3:Y3)</f>
        <v>2.675220332249888</v>
      </c>
      <c r="AE3" s="75">
        <f>_xlfn.CONFIDENCE.T(0.05,AD3,3)</f>
        <v>6.6456157145831973</v>
      </c>
    </row>
    <row r="4" spans="1:31" x14ac:dyDescent="0.2">
      <c r="A4" s="84" t="s">
        <v>2</v>
      </c>
      <c r="B4" s="86">
        <f>VLOOKUP($A:$A,'MRC5 Peptide_Ratio_Results'!$A:$E,3,FALSE)</f>
        <v>0.30049999999999999</v>
      </c>
      <c r="C4" s="87">
        <f>VLOOKUP($A:$A,'MRC5 Peptide_Ratio_Results'!$A:$E,4,FALSE)</f>
        <v>0.3039</v>
      </c>
      <c r="D4" s="88">
        <f>VLOOKUP($A:$A,'MRC5 Peptide_Ratio_Results'!$A:$E,5,FALSE)</f>
        <v>0.29420000000000002</v>
      </c>
      <c r="E4" s="42">
        <f t="shared" ref="E4:G8" si="8">1/B4</f>
        <v>3.3277870216306158</v>
      </c>
      <c r="F4" s="42">
        <f t="shared" si="0"/>
        <v>3.2905561039815727</v>
      </c>
      <c r="G4" s="50">
        <f t="shared" si="0"/>
        <v>3.3990482664853841</v>
      </c>
      <c r="H4" s="45">
        <f t="shared" ref="H4:H6" si="9">$B27/E4</f>
        <v>2.4039999999999999</v>
      </c>
      <c r="I4" s="41">
        <f>$B27/F4</f>
        <v>2.4312</v>
      </c>
      <c r="J4" s="46">
        <f t="shared" ref="J4:J8" si="10">$B27/G4</f>
        <v>2.3536000000000001</v>
      </c>
      <c r="K4" s="45">
        <f t="shared" ref="K4:K8" si="11">H4*(500*10^-6)</f>
        <v>1.2019999999999999E-3</v>
      </c>
      <c r="L4" s="41">
        <f t="shared" ref="L4:L8" si="12">I4*(500*10^-6)</f>
        <v>1.2156000000000001E-3</v>
      </c>
      <c r="M4" s="46">
        <f t="shared" ref="M4:M8" si="13">J4*(500*10^-6)</f>
        <v>1.1768000000000002E-3</v>
      </c>
      <c r="N4" s="45">
        <f t="shared" ref="N4:N8" si="14">K4/$B$14</f>
        <v>3.3792521788023615E-10</v>
      </c>
      <c r="O4" s="41">
        <f t="shared" ref="O4:O8" si="15">L4/$B$14</f>
        <v>3.4174866460500423E-10</v>
      </c>
      <c r="P4" s="46">
        <f t="shared" ref="P4:P8" si="16">M4/$B$14</f>
        <v>3.3084059600787184E-10</v>
      </c>
      <c r="Q4" s="45">
        <f t="shared" ref="Q4:Q8" si="17">N4/10^9</f>
        <v>3.3792521788023614E-19</v>
      </c>
      <c r="R4" s="41">
        <f t="shared" ref="R4:R8" si="18">O4/10^9</f>
        <v>3.4174866460500425E-19</v>
      </c>
      <c r="S4" s="46">
        <f t="shared" ref="S4:S8" si="19">P4/10^9</f>
        <v>3.3084059600787184E-19</v>
      </c>
      <c r="T4" s="45">
        <f t="shared" ref="T4:T8" si="20">Q4/$B$22</f>
        <v>1.1718248164487506E-7</v>
      </c>
      <c r="U4" s="41">
        <f t="shared" ref="U4:U8" si="21">R4/$B$22</f>
        <v>1.1850834000624804E-7</v>
      </c>
      <c r="V4" s="46">
        <f t="shared" ref="V4:V8" si="22">S4/$B$22</f>
        <v>1.147257440929193E-7</v>
      </c>
      <c r="W4" s="45">
        <f t="shared" ref="W4:W8" si="23">T4*10^9</f>
        <v>117.18248164487505</v>
      </c>
      <c r="X4" s="41">
        <f t="shared" ref="X4:X8" si="24">U4*10^9</f>
        <v>118.50834000624803</v>
      </c>
      <c r="Y4" s="46">
        <f t="shared" ref="Y4:Y8" si="25">V4*10^9</f>
        <v>114.7257440929193</v>
      </c>
      <c r="AA4" s="71" t="str">
        <f t="shared" si="7"/>
        <v>UB2R2</v>
      </c>
      <c r="AB4" s="74">
        <f t="shared" ref="AB4:AB8" si="26">AVERAGE(W4:Y4)</f>
        <v>116.8055219146808</v>
      </c>
      <c r="AC4" s="74">
        <f t="shared" ref="AC4:AC8" si="27">AD4/SQRT(3)</f>
        <v>1.1080887358456311</v>
      </c>
      <c r="AD4" s="74">
        <f t="shared" ref="AD4:AD8" si="28">STDEV(W4:Y4)</f>
        <v>1.9192659897794015</v>
      </c>
      <c r="AE4" s="75">
        <f t="shared" ref="AE4:AE8" si="29">_xlfn.CONFIDENCE.T(0.05,AD4,3)</f>
        <v>4.7677210240908368</v>
      </c>
    </row>
    <row r="5" spans="1:31" x14ac:dyDescent="0.2">
      <c r="A5" s="84" t="s">
        <v>22</v>
      </c>
      <c r="B5" s="86">
        <f>VLOOKUP($A:$A,'MRC5 Peptide_Ratio_Results'!$A:$E,3,FALSE)</f>
        <v>0.87660000000000005</v>
      </c>
      <c r="C5" s="87">
        <f>VLOOKUP($A:$A,'MRC5 Peptide_Ratio_Results'!$A:$E,4,FALSE)</f>
        <v>0.95120000000000005</v>
      </c>
      <c r="D5" s="88">
        <f>VLOOKUP($A:$A,'MRC5 Peptide_Ratio_Results'!$A:$E,5,FALSE)</f>
        <v>0.89970000000000006</v>
      </c>
      <c r="E5" s="42">
        <f t="shared" si="8"/>
        <v>1.1407711613050422</v>
      </c>
      <c r="F5" s="42">
        <f t="shared" si="0"/>
        <v>1.0513036164844407</v>
      </c>
      <c r="G5" s="50">
        <f t="shared" si="0"/>
        <v>1.1114816049794376</v>
      </c>
      <c r="H5" s="45">
        <f t="shared" si="9"/>
        <v>35.064</v>
      </c>
      <c r="I5" s="41">
        <f>$B28/F5</f>
        <v>38.048000000000002</v>
      </c>
      <c r="J5" s="46">
        <f t="shared" si="10"/>
        <v>35.988</v>
      </c>
      <c r="K5" s="45">
        <f t="shared" si="11"/>
        <v>1.7531999999999999E-2</v>
      </c>
      <c r="L5" s="41">
        <f t="shared" si="12"/>
        <v>1.9024000000000003E-2</v>
      </c>
      <c r="M5" s="46">
        <f t="shared" si="13"/>
        <v>1.7994E-2</v>
      </c>
      <c r="N5" s="45">
        <f t="shared" si="14"/>
        <v>4.9288726454877701E-9</v>
      </c>
      <c r="O5" s="41">
        <f t="shared" si="15"/>
        <v>5.3483272420579149E-9</v>
      </c>
      <c r="P5" s="46">
        <f t="shared" si="16"/>
        <v>5.0587573798144501E-9</v>
      </c>
      <c r="Q5" s="45">
        <f t="shared" si="17"/>
        <v>4.9288726454877697E-18</v>
      </c>
      <c r="R5" s="41">
        <f t="shared" si="18"/>
        <v>5.3483272420579153E-18</v>
      </c>
      <c r="S5" s="46">
        <f t="shared" si="19"/>
        <v>5.0587573798144499E-18</v>
      </c>
      <c r="T5" s="45">
        <f t="shared" si="20"/>
        <v>1.7091874111463805E-6</v>
      </c>
      <c r="U5" s="41">
        <f t="shared" si="21"/>
        <v>1.8546418725558269E-6</v>
      </c>
      <c r="V5" s="46">
        <f t="shared" si="22"/>
        <v>1.7542275995989033E-6</v>
      </c>
      <c r="W5" s="45">
        <f t="shared" si="23"/>
        <v>1709.1874111463806</v>
      </c>
      <c r="X5" s="41">
        <f t="shared" si="24"/>
        <v>1854.6418725558269</v>
      </c>
      <c r="Y5" s="46">
        <f t="shared" si="25"/>
        <v>1754.2275995989032</v>
      </c>
      <c r="AA5" s="71" t="str">
        <f t="shared" si="7"/>
        <v>UBE2D</v>
      </c>
      <c r="AB5" s="74">
        <f t="shared" si="26"/>
        <v>1772.6856277670367</v>
      </c>
      <c r="AC5" s="74">
        <f t="shared" si="27"/>
        <v>42.991371959459272</v>
      </c>
      <c r="AD5" s="74">
        <f t="shared" si="28"/>
        <v>74.463240520875416</v>
      </c>
      <c r="AE5" s="75">
        <f t="shared" si="29"/>
        <v>184.97694391704198</v>
      </c>
    </row>
    <row r="6" spans="1:31" x14ac:dyDescent="0.2">
      <c r="A6" s="84" t="s">
        <v>3</v>
      </c>
      <c r="B6" s="86">
        <f>VLOOKUP($A:$A,'MRC5 Peptide_Ratio_Results'!$A:$E,3,FALSE)</f>
        <v>0.44769999999999999</v>
      </c>
      <c r="C6" s="87">
        <f>VLOOKUP($A:$A,'MRC5 Peptide_Ratio_Results'!$A:$E,4,FALSE)</f>
        <v>0.35730000000000001</v>
      </c>
      <c r="D6" s="88">
        <f>VLOOKUP($A:$A,'MRC5 Peptide_Ratio_Results'!$A:$E,5,FALSE)</f>
        <v>0.39329999999999998</v>
      </c>
      <c r="E6" s="42">
        <f t="shared" si="8"/>
        <v>2.2336385972749611</v>
      </c>
      <c r="F6" s="42">
        <f t="shared" si="0"/>
        <v>2.7987685418415897</v>
      </c>
      <c r="G6" s="50">
        <f t="shared" si="0"/>
        <v>2.5425883549453343</v>
      </c>
      <c r="H6" s="45">
        <f t="shared" si="9"/>
        <v>3.5815999999999999</v>
      </c>
      <c r="I6" s="41">
        <f t="shared" ref="I6:I8" si="30">$B29/F6</f>
        <v>2.8584000000000001</v>
      </c>
      <c r="J6" s="46">
        <f t="shared" si="10"/>
        <v>3.1463999999999999</v>
      </c>
      <c r="K6" s="45">
        <f t="shared" si="11"/>
        <v>1.7907999999999999E-3</v>
      </c>
      <c r="L6" s="41">
        <f t="shared" si="12"/>
        <v>1.4292E-3</v>
      </c>
      <c r="M6" s="46">
        <f t="shared" si="13"/>
        <v>1.5731999999999999E-3</v>
      </c>
      <c r="N6" s="45">
        <f t="shared" si="14"/>
        <v>5.0345797019960643E-10</v>
      </c>
      <c r="O6" s="41">
        <f t="shared" si="15"/>
        <v>4.0179926904694969E-10</v>
      </c>
      <c r="P6" s="46">
        <f t="shared" si="16"/>
        <v>4.4228282260331735E-10</v>
      </c>
      <c r="Q6" s="45">
        <f t="shared" si="17"/>
        <v>5.0345797019960646E-19</v>
      </c>
      <c r="R6" s="41">
        <f t="shared" si="18"/>
        <v>4.0179926904694971E-19</v>
      </c>
      <c r="S6" s="46">
        <f t="shared" si="19"/>
        <v>4.4228282260331732E-19</v>
      </c>
      <c r="T6" s="45">
        <f t="shared" si="20"/>
        <v>1.7458434952549275E-7</v>
      </c>
      <c r="U6" s="41">
        <f t="shared" si="21"/>
        <v>1.3933211544663517E-7</v>
      </c>
      <c r="V6" s="46">
        <f t="shared" si="22"/>
        <v>1.5337061574352532E-7</v>
      </c>
      <c r="W6" s="45">
        <f t="shared" si="23"/>
        <v>174.58434952549274</v>
      </c>
      <c r="X6" s="41">
        <f t="shared" si="24"/>
        <v>139.33211544663516</v>
      </c>
      <c r="Y6" s="46">
        <f t="shared" si="25"/>
        <v>153.37061574352532</v>
      </c>
      <c r="AA6" s="71" t="str">
        <f t="shared" si="7"/>
        <v>ARIH1</v>
      </c>
      <c r="AB6" s="74">
        <f t="shared" si="26"/>
        <v>155.76236023855105</v>
      </c>
      <c r="AC6" s="74">
        <f t="shared" si="27"/>
        <v>10.246468223811828</v>
      </c>
      <c r="AD6" s="74">
        <f t="shared" si="28"/>
        <v>17.747403561782114</v>
      </c>
      <c r="AE6" s="75">
        <f t="shared" si="29"/>
        <v>44.086994473475102</v>
      </c>
    </row>
    <row r="7" spans="1:31" x14ac:dyDescent="0.2">
      <c r="A7" s="84" t="s">
        <v>4</v>
      </c>
      <c r="B7" s="86">
        <f>VLOOKUP($A:$A,'MRC5 Peptide_Ratio_Results'!$A:$E,3,FALSE)</f>
        <v>0.26050000000000001</v>
      </c>
      <c r="C7" s="87">
        <f>VLOOKUP($A:$A,'MRC5 Peptide_Ratio_Results'!$A:$E,4,FALSE)</f>
        <v>0.25486666666666602</v>
      </c>
      <c r="D7" s="88">
        <f>VLOOKUP($A:$A,'MRC5 Peptide_Ratio_Results'!$A:$E,5,FALSE)</f>
        <v>0.26033333333333297</v>
      </c>
      <c r="E7" s="42">
        <f t="shared" si="8"/>
        <v>3.8387715930902111</v>
      </c>
      <c r="F7" s="42">
        <f t="shared" si="0"/>
        <v>3.9236201935652728</v>
      </c>
      <c r="G7" s="50">
        <f t="shared" si="0"/>
        <v>3.8412291933418747</v>
      </c>
      <c r="H7" s="45">
        <f>$B30/E7</f>
        <v>3.6470000000000002</v>
      </c>
      <c r="I7" s="41">
        <f t="shared" si="30"/>
        <v>3.5681333333333245</v>
      </c>
      <c r="J7" s="46">
        <f t="shared" si="10"/>
        <v>3.6446666666666614</v>
      </c>
      <c r="K7" s="45">
        <f t="shared" si="11"/>
        <v>1.8235000000000003E-3</v>
      </c>
      <c r="L7" s="41">
        <f t="shared" si="12"/>
        <v>1.7840666666666624E-3</v>
      </c>
      <c r="M7" s="46">
        <f t="shared" si="13"/>
        <v>1.8223333333333308E-3</v>
      </c>
      <c r="N7" s="45">
        <f t="shared" si="14"/>
        <v>5.12651110486365E-10</v>
      </c>
      <c r="O7" s="41">
        <f t="shared" si="15"/>
        <v>5.0156498922312693E-10</v>
      </c>
      <c r="P7" s="46">
        <f t="shared" si="16"/>
        <v>5.1232311873301396E-10</v>
      </c>
      <c r="Q7" s="45">
        <f t="shared" si="17"/>
        <v>5.1265111048636503E-19</v>
      </c>
      <c r="R7" s="41">
        <f t="shared" si="18"/>
        <v>5.015649892231269E-19</v>
      </c>
      <c r="S7" s="46">
        <f t="shared" si="19"/>
        <v>5.1232311873301398E-19</v>
      </c>
      <c r="T7" s="45">
        <f t="shared" si="20"/>
        <v>1.7777225896791158E-7</v>
      </c>
      <c r="U7" s="41">
        <f t="shared" si="21"/>
        <v>1.7392791965049885E-7</v>
      </c>
      <c r="V7" s="46">
        <f t="shared" si="22"/>
        <v>1.7765852111828373E-7</v>
      </c>
      <c r="W7" s="45">
        <f t="shared" si="23"/>
        <v>177.7722589679116</v>
      </c>
      <c r="X7" s="41">
        <f t="shared" si="24"/>
        <v>173.92791965049884</v>
      </c>
      <c r="Y7" s="46">
        <f t="shared" si="25"/>
        <v>177.65852111828372</v>
      </c>
      <c r="AA7" s="71" t="str">
        <f t="shared" si="7"/>
        <v>Cul1</v>
      </c>
      <c r="AB7" s="74">
        <f t="shared" si="26"/>
        <v>176.45289991223137</v>
      </c>
      <c r="AC7" s="74">
        <f t="shared" si="27"/>
        <v>1.2629170025795722</v>
      </c>
      <c r="AD7" s="74">
        <f t="shared" si="28"/>
        <v>2.1874364142104139</v>
      </c>
      <c r="AE7" s="75">
        <f t="shared" si="29"/>
        <v>5.433893288596007</v>
      </c>
    </row>
    <row r="8" spans="1:31" ht="17" thickBot="1" x14ac:dyDescent="0.25">
      <c r="A8" s="85" t="s">
        <v>5</v>
      </c>
      <c r="B8" s="89">
        <f>VLOOKUP($A:$A,'MRC5 Peptide_Ratio_Results'!$A:$E,3,FALSE)</f>
        <v>0.64844999999999997</v>
      </c>
      <c r="C8" s="90">
        <f>VLOOKUP($A:$A,'MRC5 Peptide_Ratio_Results'!$A:$E,4,FALSE)</f>
        <v>0.60224999999999995</v>
      </c>
      <c r="D8" s="91">
        <f>VLOOKUP($A:$A,'MRC5 Peptide_Ratio_Results'!$A:$E,5,FALSE)</f>
        <v>0.58994999999999997</v>
      </c>
      <c r="E8" s="51">
        <f t="shared" si="8"/>
        <v>1.5421389467190996</v>
      </c>
      <c r="F8" s="51">
        <f t="shared" si="8"/>
        <v>1.6604400166044002</v>
      </c>
      <c r="G8" s="52">
        <f t="shared" si="8"/>
        <v>1.6950589032968897</v>
      </c>
      <c r="H8" s="47">
        <f>$B31/E8</f>
        <v>31.125599999999995</v>
      </c>
      <c r="I8" s="48">
        <f t="shared" si="30"/>
        <v>28.907999999999998</v>
      </c>
      <c r="J8" s="49">
        <f t="shared" si="10"/>
        <v>28.317599999999999</v>
      </c>
      <c r="K8" s="47">
        <f t="shared" si="11"/>
        <v>1.5562799999999998E-2</v>
      </c>
      <c r="L8" s="48">
        <f t="shared" si="12"/>
        <v>1.4454E-2</v>
      </c>
      <c r="M8" s="49">
        <f t="shared" si="13"/>
        <v>1.4158799999999999E-2</v>
      </c>
      <c r="N8" s="47">
        <f t="shared" si="14"/>
        <v>4.3752600506044412E-9</v>
      </c>
      <c r="O8" s="48">
        <f t="shared" si="15"/>
        <v>4.0635366882204108E-9</v>
      </c>
      <c r="P8" s="49">
        <f t="shared" si="16"/>
        <v>3.9805454034298565E-9</v>
      </c>
      <c r="Q8" s="47">
        <f t="shared" si="17"/>
        <v>4.3752600506044414E-18</v>
      </c>
      <c r="R8" s="48">
        <f t="shared" si="18"/>
        <v>4.0635366882204107E-18</v>
      </c>
      <c r="S8" s="49">
        <f t="shared" si="19"/>
        <v>3.9805454034298565E-18</v>
      </c>
      <c r="T8" s="47">
        <f t="shared" si="20"/>
        <v>1.5172109195864072E-6</v>
      </c>
      <c r="U8" s="48">
        <f t="shared" si="21"/>
        <v>1.4091144673003531E-6</v>
      </c>
      <c r="V8" s="49">
        <f t="shared" si="22"/>
        <v>1.380335541691728E-6</v>
      </c>
      <c r="W8" s="47">
        <f t="shared" si="23"/>
        <v>1517.2109195864073</v>
      </c>
      <c r="X8" s="48">
        <f t="shared" si="24"/>
        <v>1409.114467300353</v>
      </c>
      <c r="Y8" s="49">
        <f t="shared" si="25"/>
        <v>1380.3355416917279</v>
      </c>
      <c r="AA8" s="72" t="str">
        <f t="shared" si="7"/>
        <v>Skp1</v>
      </c>
      <c r="AB8" s="76">
        <f t="shared" si="26"/>
        <v>1435.5536428594962</v>
      </c>
      <c r="AC8" s="76">
        <f t="shared" si="27"/>
        <v>41.665292397222771</v>
      </c>
      <c r="AD8" s="76">
        <f t="shared" si="28"/>
        <v>72.166403344203104</v>
      </c>
      <c r="AE8" s="77">
        <f t="shared" si="29"/>
        <v>179.27128406872012</v>
      </c>
    </row>
    <row r="12" spans="1:31" ht="17" thickBot="1" x14ac:dyDescent="0.25">
      <c r="A12" s="156" t="s">
        <v>16</v>
      </c>
      <c r="B12" s="156"/>
      <c r="C12" s="24"/>
    </row>
    <row r="13" spans="1:31" ht="19" x14ac:dyDescent="0.25">
      <c r="A13" s="30" t="s">
        <v>6</v>
      </c>
      <c r="B13" s="30" t="s">
        <v>35</v>
      </c>
      <c r="C13" s="14"/>
    </row>
    <row r="14" spans="1:31" ht="28" customHeight="1" x14ac:dyDescent="0.2">
      <c r="A14" s="13" t="s">
        <v>7</v>
      </c>
      <c r="B14" s="31">
        <v>3557000</v>
      </c>
      <c r="C14" s="15"/>
    </row>
    <row r="15" spans="1:31" ht="28" customHeight="1" x14ac:dyDescent="0.2">
      <c r="A15" s="3" t="s">
        <v>8</v>
      </c>
      <c r="B15" s="32">
        <v>3115000</v>
      </c>
      <c r="C15" s="15"/>
    </row>
    <row r="16" spans="1:31" ht="27" customHeight="1" x14ac:dyDescent="0.2">
      <c r="A16" s="3" t="s">
        <v>9</v>
      </c>
      <c r="B16" s="33">
        <f>B15/B14</f>
        <v>0.87573798144503801</v>
      </c>
      <c r="C16" s="16"/>
    </row>
    <row r="17" spans="1:4" ht="31" customHeight="1" x14ac:dyDescent="0.2">
      <c r="A17" s="3" t="s">
        <v>10</v>
      </c>
      <c r="B17" s="33">
        <v>0.28999999999999998</v>
      </c>
      <c r="C17" s="17"/>
    </row>
    <row r="18" spans="1:4" ht="30" customHeight="1" x14ac:dyDescent="0.2">
      <c r="A18" s="3" t="s">
        <v>11</v>
      </c>
      <c r="B18" s="32">
        <v>17.66</v>
      </c>
      <c r="C18" s="15"/>
    </row>
    <row r="19" spans="1:4" ht="29" customHeight="1" x14ac:dyDescent="0.2">
      <c r="A19" s="34" t="s">
        <v>12</v>
      </c>
      <c r="B19" s="35">
        <f>B18/1000000</f>
        <v>1.766E-5</v>
      </c>
      <c r="C19" s="15"/>
    </row>
    <row r="20" spans="1:4" ht="27" customHeight="1" x14ac:dyDescent="0.2">
      <c r="A20" s="36" t="s">
        <v>13</v>
      </c>
      <c r="B20" s="37">
        <v>3.1415000000000002</v>
      </c>
      <c r="C20" s="10"/>
    </row>
    <row r="21" spans="1:4" ht="27" customHeight="1" x14ac:dyDescent="0.2">
      <c r="A21" s="36" t="s">
        <v>14</v>
      </c>
      <c r="B21" s="35">
        <f>(4/3)*B20*((B19/2)^3)</f>
        <v>2.8837520176806665E-15</v>
      </c>
      <c r="C21" s="15"/>
    </row>
    <row r="22" spans="1:4" ht="30" customHeight="1" thickBot="1" x14ac:dyDescent="0.25">
      <c r="A22" s="38" t="s">
        <v>15</v>
      </c>
      <c r="B22" s="39">
        <f>B21*1000</f>
        <v>2.8837520176806666E-12</v>
      </c>
      <c r="C22" s="15"/>
    </row>
    <row r="23" spans="1:4" ht="17" thickBot="1" x14ac:dyDescent="0.25">
      <c r="A23" s="9"/>
      <c r="B23" s="15"/>
      <c r="C23" s="15"/>
    </row>
    <row r="24" spans="1:4" x14ac:dyDescent="0.2">
      <c r="A24" s="157" t="s">
        <v>23</v>
      </c>
      <c r="B24" s="159" t="s">
        <v>24</v>
      </c>
      <c r="C24" s="159"/>
      <c r="D24" s="160"/>
    </row>
    <row r="25" spans="1:4" x14ac:dyDescent="0.2">
      <c r="A25" s="158"/>
      <c r="B25" s="150" t="s">
        <v>25</v>
      </c>
      <c r="C25" s="150"/>
      <c r="D25" s="161"/>
    </row>
    <row r="26" spans="1:4" x14ac:dyDescent="0.2">
      <c r="A26" s="27" t="s">
        <v>1</v>
      </c>
      <c r="B26" s="150">
        <v>8</v>
      </c>
      <c r="C26" s="150"/>
      <c r="D26" s="161"/>
    </row>
    <row r="27" spans="1:4" x14ac:dyDescent="0.2">
      <c r="A27" s="27" t="s">
        <v>21</v>
      </c>
      <c r="B27" s="150">
        <v>8</v>
      </c>
      <c r="C27" s="150"/>
      <c r="D27" s="161"/>
    </row>
    <row r="28" spans="1:4" x14ac:dyDescent="0.2">
      <c r="A28" s="27" t="s">
        <v>22</v>
      </c>
      <c r="B28" s="150">
        <v>40</v>
      </c>
      <c r="C28" s="150"/>
      <c r="D28" s="161"/>
    </row>
    <row r="29" spans="1:4" x14ac:dyDescent="0.2">
      <c r="A29" s="27" t="s">
        <v>3</v>
      </c>
      <c r="B29" s="150">
        <v>8</v>
      </c>
      <c r="C29" s="150"/>
      <c r="D29" s="161"/>
    </row>
    <row r="30" spans="1:4" x14ac:dyDescent="0.2">
      <c r="A30" s="27" t="s">
        <v>4</v>
      </c>
      <c r="B30" s="150">
        <v>14</v>
      </c>
      <c r="C30" s="150"/>
      <c r="D30" s="161"/>
    </row>
    <row r="31" spans="1:4" ht="17" thickBot="1" x14ac:dyDescent="0.25">
      <c r="A31" s="28" t="s">
        <v>5</v>
      </c>
      <c r="B31" s="154">
        <v>48</v>
      </c>
      <c r="C31" s="154"/>
      <c r="D31" s="155"/>
    </row>
    <row r="32" spans="1:4" x14ac:dyDescent="0.2">
      <c r="A32" s="2"/>
      <c r="B32" s="1"/>
      <c r="C32" s="25"/>
      <c r="D32" s="2"/>
    </row>
    <row r="33" spans="1:4" x14ac:dyDescent="0.2">
      <c r="A33" s="2"/>
      <c r="B33" s="1"/>
      <c r="C33" s="25"/>
      <c r="D33" s="2"/>
    </row>
    <row r="34" spans="1:4" x14ac:dyDescent="0.2">
      <c r="A34" s="2"/>
      <c r="B34" s="1"/>
      <c r="C34" s="25"/>
      <c r="D34" s="2"/>
    </row>
    <row r="35" spans="1:4" x14ac:dyDescent="0.2">
      <c r="A35" s="2"/>
      <c r="B35" s="1"/>
      <c r="C35" s="25"/>
      <c r="D35" s="2"/>
    </row>
    <row r="36" spans="1:4" x14ac:dyDescent="0.2">
      <c r="A36" s="2"/>
      <c r="B36" s="1"/>
      <c r="C36" s="25"/>
      <c r="D36" s="2"/>
    </row>
    <row r="37" spans="1:4" x14ac:dyDescent="0.2">
      <c r="A37" s="2"/>
      <c r="B37" s="1"/>
      <c r="C37" s="25"/>
      <c r="D37" s="2"/>
    </row>
    <row r="38" spans="1:4" x14ac:dyDescent="0.2">
      <c r="A38" s="2"/>
      <c r="B38" s="1"/>
      <c r="C38" s="25"/>
      <c r="D38" s="2"/>
    </row>
    <row r="39" spans="1:4" x14ac:dyDescent="0.2">
      <c r="A39" s="2"/>
      <c r="B39" s="1"/>
      <c r="C39" s="25"/>
      <c r="D39" s="2"/>
    </row>
  </sheetData>
  <mergeCells count="18">
    <mergeCell ref="B27:D27"/>
    <mergeCell ref="B28:D28"/>
    <mergeCell ref="B29:D29"/>
    <mergeCell ref="B30:D30"/>
    <mergeCell ref="B31:D31"/>
    <mergeCell ref="T1:V1"/>
    <mergeCell ref="W1:Y1"/>
    <mergeCell ref="A24:A25"/>
    <mergeCell ref="B24:D24"/>
    <mergeCell ref="B25:D25"/>
    <mergeCell ref="Q1:S1"/>
    <mergeCell ref="B26:D26"/>
    <mergeCell ref="A12:B12"/>
    <mergeCell ref="H1:J1"/>
    <mergeCell ref="K1:M1"/>
    <mergeCell ref="N1:P1"/>
    <mergeCell ref="B1:D1"/>
    <mergeCell ref="E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3CA6F-872E-4041-A131-83F52A23D2DA}">
  <dimension ref="A1:W39"/>
  <sheetViews>
    <sheetView workbookViewId="0">
      <selection activeCell="U3" sqref="U3"/>
    </sheetView>
  </sheetViews>
  <sheetFormatPr baseColWidth="10" defaultRowHeight="16" x14ac:dyDescent="0.2"/>
  <cols>
    <col min="1" max="1" width="24.33203125" customWidth="1"/>
    <col min="2" max="2" width="19.5" customWidth="1"/>
    <col min="3" max="3" width="19.1640625" customWidth="1"/>
    <col min="4" max="4" width="11.83203125" customWidth="1"/>
    <col min="6" max="6" width="16" customWidth="1"/>
    <col min="7" max="7" width="17.6640625" customWidth="1"/>
    <col min="10" max="10" width="12.1640625" bestFit="1" customWidth="1"/>
    <col min="12" max="12" width="12.1640625" bestFit="1" customWidth="1"/>
    <col min="14" max="14" width="12.1640625" bestFit="1" customWidth="1"/>
    <col min="15" max="15" width="11.83203125" customWidth="1"/>
    <col min="16" max="16" width="18" customWidth="1"/>
    <col min="17" max="17" width="16" customWidth="1"/>
    <col min="19" max="19" width="15.6640625" customWidth="1"/>
    <col min="20" max="21" width="9.33203125" customWidth="1"/>
    <col min="22" max="22" width="9" customWidth="1"/>
  </cols>
  <sheetData>
    <row r="1" spans="1:23" ht="17" thickBot="1" x14ac:dyDescent="0.25">
      <c r="A1" s="83"/>
      <c r="B1" s="147" t="s">
        <v>30</v>
      </c>
      <c r="C1" s="149"/>
      <c r="D1" s="148" t="s">
        <v>31</v>
      </c>
      <c r="E1" s="148"/>
      <c r="F1" s="147" t="s">
        <v>26</v>
      </c>
      <c r="G1" s="148"/>
      <c r="H1" s="147" t="s">
        <v>27</v>
      </c>
      <c r="I1" s="148"/>
      <c r="J1" s="147" t="s">
        <v>28</v>
      </c>
      <c r="K1" s="148"/>
      <c r="L1" s="147" t="s">
        <v>29</v>
      </c>
      <c r="M1" s="148"/>
      <c r="N1" s="147" t="s">
        <v>32</v>
      </c>
      <c r="O1" s="148"/>
      <c r="P1" s="147" t="s">
        <v>33</v>
      </c>
      <c r="Q1" s="149"/>
    </row>
    <row r="2" spans="1:23" x14ac:dyDescent="0.2">
      <c r="A2" s="84" t="s">
        <v>0</v>
      </c>
      <c r="B2" s="43" t="s">
        <v>17</v>
      </c>
      <c r="C2" s="44" t="s">
        <v>18</v>
      </c>
      <c r="D2" s="40" t="s">
        <v>17</v>
      </c>
      <c r="E2" s="40" t="s">
        <v>18</v>
      </c>
      <c r="F2" s="43" t="s">
        <v>17</v>
      </c>
      <c r="G2" s="40" t="s">
        <v>18</v>
      </c>
      <c r="H2" s="43" t="s">
        <v>17</v>
      </c>
      <c r="I2" s="40" t="s">
        <v>18</v>
      </c>
      <c r="J2" s="43" t="s">
        <v>17</v>
      </c>
      <c r="K2" s="40" t="s">
        <v>18</v>
      </c>
      <c r="L2" s="43" t="s">
        <v>17</v>
      </c>
      <c r="M2" s="40" t="s">
        <v>18</v>
      </c>
      <c r="N2" s="43" t="s">
        <v>17</v>
      </c>
      <c r="O2" s="40" t="s">
        <v>18</v>
      </c>
      <c r="P2" s="43" t="s">
        <v>17</v>
      </c>
      <c r="Q2" s="44" t="s">
        <v>18</v>
      </c>
      <c r="S2" s="68" t="str">
        <f>A2</f>
        <v>Protein Name</v>
      </c>
      <c r="T2" s="69" t="s">
        <v>42</v>
      </c>
      <c r="U2" s="69" t="s">
        <v>44</v>
      </c>
      <c r="V2" s="109" t="s">
        <v>43</v>
      </c>
      <c r="W2" s="73" t="s">
        <v>73</v>
      </c>
    </row>
    <row r="3" spans="1:23" x14ac:dyDescent="0.2">
      <c r="A3" s="84" t="s">
        <v>1</v>
      </c>
      <c r="B3" s="101">
        <f>VLOOKUP($A:$A,'HeLa Peptide_Ratio_Results'!$A:$D,3,FALSE)</f>
        <v>0.1353</v>
      </c>
      <c r="C3" s="102">
        <f>VLOOKUP($A:$A,'HeLa Peptide_Ratio_Results'!$A:$D,4,FALSE)</f>
        <v>0.1424</v>
      </c>
      <c r="D3" s="42">
        <f t="shared" ref="D3:E8" si="0">1/B3</f>
        <v>7.390983000739098</v>
      </c>
      <c r="E3" s="42">
        <f t="shared" si="0"/>
        <v>7.02247191011236</v>
      </c>
      <c r="F3" s="45">
        <f t="shared" ref="F3:G8" si="1">$B26/D3</f>
        <v>1.353</v>
      </c>
      <c r="G3" s="41">
        <f t="shared" si="1"/>
        <v>1.4239999999999999</v>
      </c>
      <c r="H3" s="45">
        <f t="shared" ref="H3:I8" si="2">F3*(500*10^-6)</f>
        <v>6.7650000000000002E-4</v>
      </c>
      <c r="I3" s="41">
        <f t="shared" si="2"/>
        <v>7.1199999999999996E-4</v>
      </c>
      <c r="J3" s="45">
        <f t="shared" ref="J3:K8" si="3">H3/$B$14</f>
        <v>2.4160714285714288E-10</v>
      </c>
      <c r="K3" s="41">
        <f t="shared" si="3"/>
        <v>2.5428571428571429E-10</v>
      </c>
      <c r="L3" s="45">
        <f t="shared" ref="L3:M8" si="4">J3/10^9</f>
        <v>2.4160714285714287E-19</v>
      </c>
      <c r="M3" s="41">
        <f t="shared" si="4"/>
        <v>2.5428571428571428E-19</v>
      </c>
      <c r="N3" s="45">
        <f t="shared" ref="N3:O8" si="5">L3/$B$22</f>
        <v>8.0863083578269523E-8</v>
      </c>
      <c r="O3" s="41">
        <f t="shared" si="5"/>
        <v>8.5106453078681284E-8</v>
      </c>
      <c r="P3" s="45">
        <f>N3*10^9</f>
        <v>80.863083578269524</v>
      </c>
      <c r="Q3" s="46">
        <f>O3*10^9</f>
        <v>85.106453078681284</v>
      </c>
      <c r="S3" s="71" t="str">
        <f t="shared" ref="S3:S8" si="6">A3</f>
        <v>UB2R1</v>
      </c>
      <c r="T3" s="74">
        <f>AVERAGE(P3:Q3)</f>
        <v>82.984768328475411</v>
      </c>
      <c r="U3" s="74">
        <f>V3/SQRT(2)</f>
        <v>2.1216847502058793</v>
      </c>
      <c r="V3" s="74">
        <f>STDEV(P3:Q3)</f>
        <v>3.0005153488213274</v>
      </c>
      <c r="W3" s="75">
        <f>_xlfn.CONFIDENCE.T(0.05,V3,2)</f>
        <v>26.958560821735592</v>
      </c>
    </row>
    <row r="4" spans="1:23" x14ac:dyDescent="0.2">
      <c r="A4" s="84" t="s">
        <v>2</v>
      </c>
      <c r="B4" s="101">
        <f>VLOOKUP($A:$A,'HeLa Peptide_Ratio_Results'!$A:$D,3,FALSE)</f>
        <v>0.42085</v>
      </c>
      <c r="C4" s="102">
        <f>VLOOKUP($A:$A,'HeLa Peptide_Ratio_Results'!$A:$D,4,FALSE)</f>
        <v>0.51824999999999999</v>
      </c>
      <c r="D4" s="42">
        <f t="shared" si="0"/>
        <v>2.3761435190685516</v>
      </c>
      <c r="E4" s="42">
        <f t="shared" si="0"/>
        <v>1.929570670525808</v>
      </c>
      <c r="F4" s="45">
        <f t="shared" si="1"/>
        <v>4.2084999999999999</v>
      </c>
      <c r="G4" s="41">
        <f t="shared" si="1"/>
        <v>5.1825000000000001</v>
      </c>
      <c r="H4" s="45">
        <f t="shared" si="2"/>
        <v>2.1042499999999998E-3</v>
      </c>
      <c r="I4" s="41">
        <f t="shared" si="2"/>
        <v>2.5912500000000002E-3</v>
      </c>
      <c r="J4" s="45">
        <f t="shared" si="3"/>
        <v>7.5151785714285704E-10</v>
      </c>
      <c r="K4" s="41">
        <f t="shared" si="3"/>
        <v>9.2544642857142865E-10</v>
      </c>
      <c r="L4" s="45">
        <f t="shared" si="4"/>
        <v>7.5151785714285704E-19</v>
      </c>
      <c r="M4" s="41">
        <f t="shared" si="4"/>
        <v>9.254464285714287E-19</v>
      </c>
      <c r="N4" s="45">
        <f t="shared" si="5"/>
        <v>2.5152423299271781E-7</v>
      </c>
      <c r="O4" s="41">
        <f t="shared" si="5"/>
        <v>3.0973609064625413E-7</v>
      </c>
      <c r="P4" s="45">
        <f t="shared" ref="P4:P8" si="7">N4*10^9</f>
        <v>251.52423299271783</v>
      </c>
      <c r="Q4" s="46">
        <f>O4*10^9</f>
        <v>309.73609064625413</v>
      </c>
      <c r="S4" s="71" t="str">
        <f t="shared" si="6"/>
        <v>UB2R2</v>
      </c>
      <c r="T4" s="74">
        <f t="shared" ref="T4:T8" si="8">AVERAGE(P4:Q4)</f>
        <v>280.63016181948598</v>
      </c>
      <c r="U4" s="74">
        <f t="shared" ref="U4:U8" si="9">V4/SQRT(2)</f>
        <v>29.105928826768444</v>
      </c>
      <c r="V4" s="74">
        <f t="shared" ref="V4:V8" si="10">STDEV(P4:Q4)</f>
        <v>41.161999292281962</v>
      </c>
      <c r="W4" s="75">
        <f t="shared" ref="W4:W8" si="11">_xlfn.CONFIDENCE.T(0.05,V4,2)</f>
        <v>369.82589070944914</v>
      </c>
    </row>
    <row r="5" spans="1:23" x14ac:dyDescent="0.2">
      <c r="A5" s="84" t="s">
        <v>22</v>
      </c>
      <c r="B5" s="101">
        <f>VLOOKUP($A:$A,'HeLa Peptide_Ratio_Results'!$A:$D,3,FALSE)</f>
        <v>0.63</v>
      </c>
      <c r="C5" s="102">
        <f>VLOOKUP($A:$A,'HeLa Peptide_Ratio_Results'!$A:$D,4,FALSE)</f>
        <v>0.625</v>
      </c>
      <c r="D5" s="42">
        <f t="shared" si="0"/>
        <v>1.5873015873015872</v>
      </c>
      <c r="E5" s="42">
        <f t="shared" si="0"/>
        <v>1.6</v>
      </c>
      <c r="F5" s="45">
        <f t="shared" si="1"/>
        <v>31.5</v>
      </c>
      <c r="G5" s="41">
        <f t="shared" si="1"/>
        <v>31.25</v>
      </c>
      <c r="H5" s="45">
        <f t="shared" si="2"/>
        <v>1.575E-2</v>
      </c>
      <c r="I5" s="41">
        <f t="shared" si="2"/>
        <v>1.5625E-2</v>
      </c>
      <c r="J5" s="45">
        <f t="shared" si="3"/>
        <v>5.6249999999999999E-9</v>
      </c>
      <c r="K5" s="41">
        <f t="shared" si="3"/>
        <v>5.5803571428571431E-9</v>
      </c>
      <c r="L5" s="45">
        <f t="shared" si="4"/>
        <v>5.6249999999999997E-18</v>
      </c>
      <c r="M5" s="41">
        <f t="shared" si="4"/>
        <v>5.5803571428571434E-18</v>
      </c>
      <c r="N5" s="45">
        <f t="shared" si="5"/>
        <v>1.8826216797601549E-6</v>
      </c>
      <c r="O5" s="41">
        <f t="shared" si="5"/>
        <v>1.8676802378572968E-6</v>
      </c>
      <c r="P5" s="45">
        <f t="shared" si="7"/>
        <v>1882.6216797601548</v>
      </c>
      <c r="Q5" s="46">
        <f>O5*10^9</f>
        <v>1867.6802378572968</v>
      </c>
      <c r="S5" s="71" t="str">
        <f t="shared" si="6"/>
        <v>UBE2D</v>
      </c>
      <c r="T5" s="74">
        <f t="shared" si="8"/>
        <v>1875.1509588087258</v>
      </c>
      <c r="U5" s="74">
        <f t="shared" si="9"/>
        <v>7.4707209514290289</v>
      </c>
      <c r="V5" s="74">
        <f t="shared" si="10"/>
        <v>10.565194890215766</v>
      </c>
      <c r="W5" s="75">
        <f t="shared" si="11"/>
        <v>94.924509935687141</v>
      </c>
    </row>
    <row r="6" spans="1:23" x14ac:dyDescent="0.2">
      <c r="A6" s="84" t="s">
        <v>3</v>
      </c>
      <c r="B6" s="101">
        <f>VLOOKUP($A:$A,'HeLa Peptide_Ratio_Results'!$A:$D,3,FALSE)</f>
        <v>0.35975000000000001</v>
      </c>
      <c r="C6" s="102">
        <f>VLOOKUP($A:$A,'HeLa Peptide_Ratio_Results'!$A:$D,4,FALSE)</f>
        <v>0.31659999999999999</v>
      </c>
      <c r="D6" s="42">
        <f t="shared" si="0"/>
        <v>2.7797081306462821</v>
      </c>
      <c r="E6" s="42">
        <f t="shared" si="0"/>
        <v>3.1585596967782692</v>
      </c>
      <c r="F6" s="45">
        <f t="shared" si="1"/>
        <v>3.5975000000000001</v>
      </c>
      <c r="G6" s="41">
        <f t="shared" si="1"/>
        <v>3.1659999999999999</v>
      </c>
      <c r="H6" s="45">
        <f t="shared" si="2"/>
        <v>1.79875E-3</v>
      </c>
      <c r="I6" s="41">
        <f t="shared" si="2"/>
        <v>1.583E-3</v>
      </c>
      <c r="J6" s="45">
        <f t="shared" si="3"/>
        <v>6.4241071428571428E-10</v>
      </c>
      <c r="K6" s="41">
        <f t="shared" si="3"/>
        <v>5.6535714285714282E-10</v>
      </c>
      <c r="L6" s="45">
        <f t="shared" si="4"/>
        <v>6.4241071428571429E-19</v>
      </c>
      <c r="M6" s="41">
        <f t="shared" si="4"/>
        <v>5.6535714285714283E-19</v>
      </c>
      <c r="N6" s="45">
        <f t="shared" si="5"/>
        <v>2.1500734898213198E-7</v>
      </c>
      <c r="O6" s="41">
        <f t="shared" si="5"/>
        <v>1.8921842025779843E-7</v>
      </c>
      <c r="P6" s="45">
        <f t="shared" si="7"/>
        <v>215.00734898213199</v>
      </c>
      <c r="Q6" s="46">
        <f>O6*10^9</f>
        <v>189.21842025779844</v>
      </c>
      <c r="S6" s="71" t="str">
        <f t="shared" si="6"/>
        <v>ARIH1</v>
      </c>
      <c r="T6" s="74">
        <f t="shared" si="8"/>
        <v>202.1128846199652</v>
      </c>
      <c r="U6" s="74">
        <f t="shared" si="9"/>
        <v>12.89446436216677</v>
      </c>
      <c r="V6" s="74">
        <f t="shared" si="10"/>
        <v>18.235526380512788</v>
      </c>
      <c r="W6" s="75">
        <f t="shared" si="11"/>
        <v>163.83970414899937</v>
      </c>
    </row>
    <row r="7" spans="1:23" x14ac:dyDescent="0.2">
      <c r="A7" s="84" t="s">
        <v>4</v>
      </c>
      <c r="B7" s="101">
        <f>VLOOKUP($A:$A,'HeLa Peptide_Ratio_Results'!$A:$D,3,FALSE)</f>
        <v>0.129075</v>
      </c>
      <c r="C7" s="102">
        <f>VLOOKUP($A:$A,'HeLa Peptide_Ratio_Results'!$A:$D,4,FALSE)</f>
        <v>0.11935</v>
      </c>
      <c r="D7" s="42">
        <f t="shared" si="0"/>
        <v>7.7474336625992644</v>
      </c>
      <c r="E7" s="42">
        <f t="shared" si="0"/>
        <v>8.3787180561374104</v>
      </c>
      <c r="F7" s="45">
        <f t="shared" si="1"/>
        <v>2.32335</v>
      </c>
      <c r="G7" s="41">
        <f t="shared" si="1"/>
        <v>2.1483000000000003</v>
      </c>
      <c r="H7" s="45">
        <f t="shared" si="2"/>
        <v>1.161675E-3</v>
      </c>
      <c r="I7" s="41">
        <f t="shared" si="2"/>
        <v>1.0741500000000003E-3</v>
      </c>
      <c r="J7" s="45">
        <f t="shared" si="3"/>
        <v>4.1488392857142858E-10</v>
      </c>
      <c r="K7" s="41">
        <f t="shared" si="3"/>
        <v>3.8362500000000011E-10</v>
      </c>
      <c r="L7" s="45">
        <f t="shared" si="4"/>
        <v>4.1488392857142859E-19</v>
      </c>
      <c r="M7" s="41">
        <f t="shared" si="4"/>
        <v>3.836250000000001E-19</v>
      </c>
      <c r="N7" s="45">
        <f t="shared" si="5"/>
        <v>1.38856796180024E-7</v>
      </c>
      <c r="O7" s="41">
        <f t="shared" si="5"/>
        <v>1.283947985596426E-7</v>
      </c>
      <c r="P7" s="45">
        <f t="shared" si="7"/>
        <v>138.85679618002399</v>
      </c>
      <c r="Q7" s="46">
        <f>O7*10^9</f>
        <v>128.3947985596426</v>
      </c>
      <c r="S7" s="71" t="str">
        <f t="shared" si="6"/>
        <v>Cul1</v>
      </c>
      <c r="T7" s="74">
        <f t="shared" si="8"/>
        <v>133.62579736983329</v>
      </c>
      <c r="U7" s="74">
        <f t="shared" si="9"/>
        <v>5.2309988101906981</v>
      </c>
      <c r="V7" s="74">
        <f t="shared" si="10"/>
        <v>7.3977494621292088</v>
      </c>
      <c r="W7" s="75">
        <f t="shared" si="11"/>
        <v>66.466141856969301</v>
      </c>
    </row>
    <row r="8" spans="1:23" ht="17" thickBot="1" x14ac:dyDescent="0.25">
      <c r="A8" s="85" t="s">
        <v>5</v>
      </c>
      <c r="B8" s="103">
        <f>VLOOKUP($A:$A,'HeLa Peptide_Ratio_Results'!$A:$D,3,FALSE)</f>
        <v>0.51123333333333298</v>
      </c>
      <c r="C8" s="104">
        <f>VLOOKUP($A:$A,'HeLa Peptide_Ratio_Results'!$A:$D,4,FALSE)</f>
        <v>0.52476666666666605</v>
      </c>
      <c r="D8" s="51">
        <f t="shared" si="0"/>
        <v>1.9560539870900451</v>
      </c>
      <c r="E8" s="51">
        <f t="shared" si="0"/>
        <v>1.9056088420250292</v>
      </c>
      <c r="F8" s="47">
        <f t="shared" si="1"/>
        <v>30.673999999999978</v>
      </c>
      <c r="G8" s="48">
        <f t="shared" si="1"/>
        <v>31.485999999999962</v>
      </c>
      <c r="H8" s="47">
        <f t="shared" si="2"/>
        <v>1.533699999999999E-2</v>
      </c>
      <c r="I8" s="48">
        <f t="shared" si="2"/>
        <v>1.5742999999999983E-2</v>
      </c>
      <c r="J8" s="47">
        <f t="shared" si="3"/>
        <v>5.4774999999999964E-9</v>
      </c>
      <c r="K8" s="48">
        <f t="shared" si="3"/>
        <v>5.6224999999999938E-9</v>
      </c>
      <c r="L8" s="47">
        <f t="shared" si="4"/>
        <v>5.4774999999999965E-18</v>
      </c>
      <c r="M8" s="48">
        <f t="shared" si="4"/>
        <v>5.6224999999999938E-18</v>
      </c>
      <c r="N8" s="47">
        <f t="shared" si="5"/>
        <v>1.8332551557131098E-6</v>
      </c>
      <c r="O8" s="48">
        <f t="shared" si="5"/>
        <v>1.8817849590135929E-6</v>
      </c>
      <c r="P8" s="47">
        <f t="shared" si="7"/>
        <v>1833.2551557131098</v>
      </c>
      <c r="Q8" s="49">
        <f>O8*10^9</f>
        <v>1881.7849590135929</v>
      </c>
      <c r="S8" s="72" t="str">
        <f t="shared" si="6"/>
        <v>Skp1</v>
      </c>
      <c r="T8" s="76">
        <f t="shared" si="8"/>
        <v>1857.5200573633515</v>
      </c>
      <c r="U8" s="76">
        <f t="shared" si="9"/>
        <v>24.264901650241537</v>
      </c>
      <c r="V8" s="76">
        <f t="shared" si="10"/>
        <v>34.31575300342088</v>
      </c>
      <c r="W8" s="77">
        <f t="shared" si="11"/>
        <v>308.3148082711125</v>
      </c>
    </row>
    <row r="12" spans="1:23" ht="17" thickBot="1" x14ac:dyDescent="0.25">
      <c r="A12" s="156" t="s">
        <v>16</v>
      </c>
      <c r="B12" s="156"/>
      <c r="C12" s="24"/>
    </row>
    <row r="13" spans="1:23" ht="19" x14ac:dyDescent="0.25">
      <c r="A13" s="30" t="s">
        <v>41</v>
      </c>
      <c r="B13" s="30" t="s">
        <v>40</v>
      </c>
      <c r="C13" s="14"/>
    </row>
    <row r="14" spans="1:23" ht="28" customHeight="1" x14ac:dyDescent="0.2">
      <c r="A14" s="13" t="s">
        <v>7</v>
      </c>
      <c r="B14" s="5">
        <v>2800000</v>
      </c>
      <c r="C14" s="15"/>
    </row>
    <row r="15" spans="1:23" ht="28" customHeight="1" x14ac:dyDescent="0.2">
      <c r="A15" s="3" t="s">
        <v>8</v>
      </c>
      <c r="B15" s="5">
        <v>2733000</v>
      </c>
      <c r="C15" s="15"/>
    </row>
    <row r="16" spans="1:23" ht="27" customHeight="1" x14ac:dyDescent="0.2">
      <c r="A16" s="3" t="s">
        <v>9</v>
      </c>
      <c r="B16" s="6">
        <f t="shared" ref="B16" si="12">B15/B14</f>
        <v>0.97607142857142859</v>
      </c>
      <c r="C16" s="16"/>
    </row>
    <row r="17" spans="1:3" ht="31" customHeight="1" x14ac:dyDescent="0.2">
      <c r="A17" s="3" t="s">
        <v>10</v>
      </c>
      <c r="B17" s="7">
        <v>0.11899999999999999</v>
      </c>
      <c r="C17" s="17"/>
    </row>
    <row r="18" spans="1:3" ht="30" customHeight="1" x14ac:dyDescent="0.2">
      <c r="A18" s="3" t="s">
        <v>11</v>
      </c>
      <c r="B18" s="5">
        <v>17.87</v>
      </c>
      <c r="C18" s="15"/>
    </row>
    <row r="19" spans="1:3" ht="29" customHeight="1" thickBot="1" x14ac:dyDescent="0.25">
      <c r="A19" s="34" t="s">
        <v>12</v>
      </c>
      <c r="B19" s="8">
        <f t="shared" ref="B19" si="13">B18/1000000</f>
        <v>1.787E-5</v>
      </c>
      <c r="C19" s="15"/>
    </row>
    <row r="20" spans="1:3" ht="27" customHeight="1" x14ac:dyDescent="0.2">
      <c r="A20" s="36" t="s">
        <v>13</v>
      </c>
      <c r="B20" s="37">
        <v>3.1415000000000002</v>
      </c>
      <c r="C20" s="10"/>
    </row>
    <row r="21" spans="1:3" ht="27" customHeight="1" x14ac:dyDescent="0.2">
      <c r="A21" s="36" t="s">
        <v>14</v>
      </c>
      <c r="B21" s="35">
        <f>(4/3)*B20*((B19/2)^3)</f>
        <v>2.9878546818374162E-15</v>
      </c>
      <c r="C21" s="15"/>
    </row>
    <row r="22" spans="1:3" ht="30" customHeight="1" thickBot="1" x14ac:dyDescent="0.25">
      <c r="A22" s="38" t="s">
        <v>15</v>
      </c>
      <c r="B22" s="39">
        <f>B21*1000</f>
        <v>2.9878546818374163E-12</v>
      </c>
      <c r="C22" s="15"/>
    </row>
    <row r="23" spans="1:3" ht="17" thickBot="1" x14ac:dyDescent="0.25">
      <c r="A23" s="9"/>
      <c r="B23" s="15"/>
      <c r="C23" s="15"/>
    </row>
    <row r="24" spans="1:3" x14ac:dyDescent="0.2">
      <c r="A24" s="157" t="s">
        <v>23</v>
      </c>
      <c r="B24" s="159" t="s">
        <v>24</v>
      </c>
      <c r="C24" s="160"/>
    </row>
    <row r="25" spans="1:3" x14ac:dyDescent="0.2">
      <c r="A25" s="158"/>
      <c r="B25" s="150" t="s">
        <v>25</v>
      </c>
      <c r="C25" s="161"/>
    </row>
    <row r="26" spans="1:3" x14ac:dyDescent="0.2">
      <c r="A26" s="27" t="s">
        <v>1</v>
      </c>
      <c r="B26" s="150">
        <v>10</v>
      </c>
      <c r="C26" s="161"/>
    </row>
    <row r="27" spans="1:3" x14ac:dyDescent="0.2">
      <c r="A27" s="27" t="s">
        <v>21</v>
      </c>
      <c r="B27" s="150">
        <v>10</v>
      </c>
      <c r="C27" s="161"/>
    </row>
    <row r="28" spans="1:3" x14ac:dyDescent="0.2">
      <c r="A28" s="27" t="s">
        <v>22</v>
      </c>
      <c r="B28" s="150">
        <v>50</v>
      </c>
      <c r="C28" s="161"/>
    </row>
    <row r="29" spans="1:3" x14ac:dyDescent="0.2">
      <c r="A29" s="27" t="s">
        <v>3</v>
      </c>
      <c r="B29" s="150">
        <v>10</v>
      </c>
      <c r="C29" s="161"/>
    </row>
    <row r="30" spans="1:3" x14ac:dyDescent="0.2">
      <c r="A30" s="27" t="s">
        <v>4</v>
      </c>
      <c r="B30" s="150">
        <v>18</v>
      </c>
      <c r="C30" s="161"/>
    </row>
    <row r="31" spans="1:3" ht="17" thickBot="1" x14ac:dyDescent="0.25">
      <c r="A31" s="28" t="s">
        <v>5</v>
      </c>
      <c r="B31" s="154">
        <v>60</v>
      </c>
      <c r="C31" s="155"/>
    </row>
    <row r="32" spans="1:3" x14ac:dyDescent="0.2">
      <c r="A32" s="2"/>
      <c r="B32" s="1"/>
      <c r="C32" s="25"/>
    </row>
    <row r="33" spans="1:3" x14ac:dyDescent="0.2">
      <c r="A33" s="2"/>
      <c r="B33" s="1"/>
      <c r="C33" s="25"/>
    </row>
    <row r="34" spans="1:3" x14ac:dyDescent="0.2">
      <c r="A34" s="2"/>
      <c r="B34" s="1"/>
      <c r="C34" s="25"/>
    </row>
    <row r="35" spans="1:3" x14ac:dyDescent="0.2">
      <c r="A35" s="2"/>
      <c r="B35" s="1"/>
      <c r="C35" s="25"/>
    </row>
    <row r="36" spans="1:3" x14ac:dyDescent="0.2">
      <c r="A36" s="2"/>
      <c r="B36" s="1"/>
      <c r="C36" s="25"/>
    </row>
    <row r="37" spans="1:3" x14ac:dyDescent="0.2">
      <c r="A37" s="2"/>
      <c r="B37" s="1"/>
      <c r="C37" s="25"/>
    </row>
    <row r="38" spans="1:3" x14ac:dyDescent="0.2">
      <c r="A38" s="2"/>
      <c r="B38" s="1"/>
      <c r="C38" s="25"/>
    </row>
    <row r="39" spans="1:3" x14ac:dyDescent="0.2">
      <c r="A39" s="2"/>
      <c r="B39" s="1"/>
      <c r="C39" s="25"/>
    </row>
  </sheetData>
  <mergeCells count="18">
    <mergeCell ref="B29:C29"/>
    <mergeCell ref="B30:C30"/>
    <mergeCell ref="B31:C31"/>
    <mergeCell ref="N1:O1"/>
    <mergeCell ref="P1:Q1"/>
    <mergeCell ref="A12:B12"/>
    <mergeCell ref="A24:A25"/>
    <mergeCell ref="B24:C24"/>
    <mergeCell ref="B25:C25"/>
    <mergeCell ref="B1:C1"/>
    <mergeCell ref="D1:E1"/>
    <mergeCell ref="F1:G1"/>
    <mergeCell ref="H1:I1"/>
    <mergeCell ref="J1:K1"/>
    <mergeCell ref="L1:M1"/>
    <mergeCell ref="B26:C26"/>
    <mergeCell ref="B27:C27"/>
    <mergeCell ref="B28:C2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15201-E8E8-9248-9EEB-FFB3C793E326}">
  <dimension ref="A1:F7"/>
  <sheetViews>
    <sheetView workbookViewId="0">
      <selection activeCell="C2" sqref="C2:F6"/>
    </sheetView>
  </sheetViews>
  <sheetFormatPr baseColWidth="10" defaultRowHeight="16" x14ac:dyDescent="0.2"/>
  <cols>
    <col min="1" max="1" width="15.33203125" customWidth="1"/>
    <col min="2" max="2" width="35.5" customWidth="1"/>
  </cols>
  <sheetData>
    <row r="1" spans="1:6" x14ac:dyDescent="0.2">
      <c r="A1" t="s">
        <v>47</v>
      </c>
      <c r="B1" t="s">
        <v>48</v>
      </c>
      <c r="C1" t="s">
        <v>58</v>
      </c>
      <c r="D1" t="s">
        <v>59</v>
      </c>
      <c r="E1" t="s">
        <v>60</v>
      </c>
      <c r="F1" t="s">
        <v>61</v>
      </c>
    </row>
    <row r="2" spans="1:6" x14ac:dyDescent="0.2">
      <c r="A2" t="s">
        <v>3</v>
      </c>
      <c r="B2" t="s">
        <v>52</v>
      </c>
      <c r="C2">
        <v>9.2450000000000004E-2</v>
      </c>
      <c r="D2">
        <v>8.3549999999999999E-2</v>
      </c>
      <c r="E2">
        <v>9.2149999999999996E-2</v>
      </c>
      <c r="F2">
        <v>6.9800000000000001E-2</v>
      </c>
    </row>
    <row r="3" spans="1:6" x14ac:dyDescent="0.2">
      <c r="A3" t="s">
        <v>4</v>
      </c>
      <c r="B3" t="s">
        <v>62</v>
      </c>
      <c r="C3">
        <v>0.109033333333333</v>
      </c>
      <c r="D3">
        <v>0.10363333333333299</v>
      </c>
      <c r="E3">
        <v>0.1178</v>
      </c>
      <c r="F3">
        <v>9.7366666666666601E-2</v>
      </c>
    </row>
    <row r="4" spans="1:6" x14ac:dyDescent="0.2">
      <c r="A4" t="s">
        <v>5</v>
      </c>
      <c r="B4" t="s">
        <v>54</v>
      </c>
      <c r="C4">
        <v>0.25004999999999999</v>
      </c>
      <c r="D4">
        <v>0.2389</v>
      </c>
      <c r="E4">
        <v>0.26724999999999999</v>
      </c>
      <c r="F4">
        <v>0.22289999999999999</v>
      </c>
    </row>
    <row r="5" spans="1:6" x14ac:dyDescent="0.2">
      <c r="A5" t="s">
        <v>1</v>
      </c>
      <c r="B5" t="s">
        <v>63</v>
      </c>
      <c r="C5">
        <v>3.2399999999999998E-2</v>
      </c>
      <c r="D5">
        <v>2.6849999999999999E-2</v>
      </c>
      <c r="E5">
        <v>2.9350000000000001E-2</v>
      </c>
      <c r="F5">
        <v>2.67999999999999E-2</v>
      </c>
    </row>
    <row r="6" spans="1:6" x14ac:dyDescent="0.2">
      <c r="A6" t="s">
        <v>2</v>
      </c>
      <c r="B6" t="s">
        <v>56</v>
      </c>
      <c r="C6">
        <v>5.74E-2</v>
      </c>
      <c r="D6">
        <v>5.0700000000000002E-2</v>
      </c>
      <c r="E6">
        <v>5.9400000000000001E-2</v>
      </c>
      <c r="F6">
        <v>5.04E-2</v>
      </c>
    </row>
    <row r="7" spans="1:6" x14ac:dyDescent="0.2">
      <c r="A7" t="s">
        <v>22</v>
      </c>
      <c r="B7" t="s">
        <v>57</v>
      </c>
      <c r="C7">
        <v>0.26200000000000001</v>
      </c>
      <c r="D7">
        <v>0.2465</v>
      </c>
      <c r="E7">
        <v>0.28760000000000002</v>
      </c>
      <c r="F7">
        <v>0.24129999999999999</v>
      </c>
    </row>
  </sheetData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14970-4907-5E4D-BDFC-D36AC9B5EA77}">
  <dimension ref="A1:E7"/>
  <sheetViews>
    <sheetView workbookViewId="0"/>
  </sheetViews>
  <sheetFormatPr baseColWidth="10" defaultRowHeight="16" x14ac:dyDescent="0.2"/>
  <cols>
    <col min="2" max="2" width="43.5" customWidth="1"/>
  </cols>
  <sheetData>
    <row r="1" spans="1:5" x14ac:dyDescent="0.2">
      <c r="A1" t="s">
        <v>47</v>
      </c>
      <c r="B1" t="s">
        <v>48</v>
      </c>
      <c r="C1" t="s">
        <v>49</v>
      </c>
      <c r="D1" t="s">
        <v>50</v>
      </c>
      <c r="E1" t="s">
        <v>51</v>
      </c>
    </row>
    <row r="2" spans="1:5" x14ac:dyDescent="0.2">
      <c r="A2" t="s">
        <v>3</v>
      </c>
      <c r="B2" t="s">
        <v>52</v>
      </c>
      <c r="C2">
        <v>0.1004</v>
      </c>
      <c r="D2">
        <v>0.10969999999999901</v>
      </c>
      <c r="E2">
        <v>0.10235</v>
      </c>
    </row>
    <row r="3" spans="1:5" x14ac:dyDescent="0.2">
      <c r="A3" t="s">
        <v>4</v>
      </c>
      <c r="B3" t="s">
        <v>53</v>
      </c>
      <c r="C3">
        <v>0.27006666666666601</v>
      </c>
      <c r="D3">
        <v>0.26436666666666597</v>
      </c>
      <c r="E3">
        <v>0.27766666666666601</v>
      </c>
    </row>
    <row r="4" spans="1:5" x14ac:dyDescent="0.2">
      <c r="A4" t="s">
        <v>5</v>
      </c>
      <c r="B4" t="s">
        <v>54</v>
      </c>
      <c r="C4">
        <v>0.23704999999999901</v>
      </c>
      <c r="D4">
        <v>0.23619999999999999</v>
      </c>
      <c r="E4">
        <v>0.23924999999999999</v>
      </c>
    </row>
    <row r="5" spans="1:5" x14ac:dyDescent="0.2">
      <c r="A5" t="s">
        <v>1</v>
      </c>
      <c r="B5" t="s">
        <v>55</v>
      </c>
      <c r="C5">
        <v>0.1153</v>
      </c>
      <c r="D5">
        <v>0.1133</v>
      </c>
      <c r="E5">
        <v>0.1094</v>
      </c>
    </row>
    <row r="6" spans="1:5" x14ac:dyDescent="0.2">
      <c r="A6" t="s">
        <v>2</v>
      </c>
      <c r="B6" t="s">
        <v>56</v>
      </c>
      <c r="C6">
        <v>7.9299999999999995E-2</v>
      </c>
      <c r="D6">
        <v>8.9300000000000004E-2</v>
      </c>
      <c r="E6">
        <v>7.8799999999999995E-2</v>
      </c>
    </row>
    <row r="7" spans="1:5" x14ac:dyDescent="0.2">
      <c r="A7" t="s">
        <v>22</v>
      </c>
      <c r="B7" t="s">
        <v>57</v>
      </c>
      <c r="C7">
        <v>2.0438000000000001</v>
      </c>
      <c r="D7">
        <v>2.6396000000000002</v>
      </c>
      <c r="E7">
        <v>2.4468999999999999</v>
      </c>
    </row>
  </sheetData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0013D-483C-934A-8CC8-83B272350522}">
  <dimension ref="A1:E7"/>
  <sheetViews>
    <sheetView workbookViewId="0">
      <selection activeCell="Q73" sqref="Q73"/>
    </sheetView>
  </sheetViews>
  <sheetFormatPr baseColWidth="10" defaultRowHeight="16" x14ac:dyDescent="0.2"/>
  <cols>
    <col min="2" max="2" width="40" customWidth="1"/>
  </cols>
  <sheetData>
    <row r="1" spans="1:5" x14ac:dyDescent="0.2">
      <c r="A1" t="s">
        <v>47</v>
      </c>
      <c r="B1" t="s">
        <v>48</v>
      </c>
      <c r="C1" t="s">
        <v>69</v>
      </c>
      <c r="D1" t="s">
        <v>70</v>
      </c>
      <c r="E1" t="s">
        <v>71</v>
      </c>
    </row>
    <row r="2" spans="1:5" x14ac:dyDescent="0.2">
      <c r="A2" t="s">
        <v>3</v>
      </c>
      <c r="B2" t="s">
        <v>72</v>
      </c>
      <c r="C2">
        <v>0.44769999999999999</v>
      </c>
      <c r="D2">
        <v>0.35730000000000001</v>
      </c>
      <c r="E2">
        <v>0.39329999999999998</v>
      </c>
    </row>
    <row r="3" spans="1:5" x14ac:dyDescent="0.2">
      <c r="A3" t="s">
        <v>4</v>
      </c>
      <c r="B3" t="s">
        <v>62</v>
      </c>
      <c r="C3">
        <v>0.26050000000000001</v>
      </c>
      <c r="D3">
        <v>0.25486666666666602</v>
      </c>
      <c r="E3">
        <v>0.26033333333333297</v>
      </c>
    </row>
    <row r="4" spans="1:5" x14ac:dyDescent="0.2">
      <c r="A4" t="s">
        <v>5</v>
      </c>
      <c r="B4" t="s">
        <v>54</v>
      </c>
      <c r="C4">
        <v>0.64844999999999997</v>
      </c>
      <c r="D4">
        <v>0.60224999999999995</v>
      </c>
      <c r="E4">
        <v>0.58994999999999997</v>
      </c>
    </row>
    <row r="5" spans="1:5" x14ac:dyDescent="0.2">
      <c r="A5" t="s">
        <v>1</v>
      </c>
      <c r="B5" t="s">
        <v>63</v>
      </c>
      <c r="C5">
        <v>0.21579999999999999</v>
      </c>
      <c r="D5">
        <v>0.21310000000000001</v>
      </c>
      <c r="E5">
        <v>0.20279999999999901</v>
      </c>
    </row>
    <row r="6" spans="1:5" x14ac:dyDescent="0.2">
      <c r="A6" t="s">
        <v>2</v>
      </c>
      <c r="B6" t="s">
        <v>56</v>
      </c>
      <c r="C6">
        <v>0.30049999999999999</v>
      </c>
      <c r="D6">
        <v>0.3039</v>
      </c>
      <c r="E6">
        <v>0.29420000000000002</v>
      </c>
    </row>
    <row r="7" spans="1:5" x14ac:dyDescent="0.2">
      <c r="A7" t="s">
        <v>22</v>
      </c>
      <c r="B7" t="s">
        <v>57</v>
      </c>
      <c r="C7">
        <v>0.87660000000000005</v>
      </c>
      <c r="D7">
        <v>0.95120000000000005</v>
      </c>
      <c r="E7">
        <v>0.89970000000000006</v>
      </c>
    </row>
  </sheetData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30C72-9463-804B-895B-DD52DB4A088F}">
  <dimension ref="A1:D7"/>
  <sheetViews>
    <sheetView workbookViewId="0">
      <selection activeCell="B1" sqref="B1"/>
    </sheetView>
  </sheetViews>
  <sheetFormatPr baseColWidth="10" defaultRowHeight="16" x14ac:dyDescent="0.2"/>
  <cols>
    <col min="2" max="2" width="56.83203125" customWidth="1"/>
  </cols>
  <sheetData>
    <row r="1" spans="1:4" x14ac:dyDescent="0.2">
      <c r="A1" t="s">
        <v>47</v>
      </c>
      <c r="B1" t="s">
        <v>48</v>
      </c>
      <c r="C1" t="s">
        <v>68</v>
      </c>
      <c r="D1" t="s">
        <v>67</v>
      </c>
    </row>
    <row r="2" spans="1:4" x14ac:dyDescent="0.2">
      <c r="A2" t="s">
        <v>3</v>
      </c>
      <c r="B2" t="s">
        <v>52</v>
      </c>
      <c r="C2">
        <v>0.35975000000000001</v>
      </c>
      <c r="D2">
        <v>0.31659999999999999</v>
      </c>
    </row>
    <row r="3" spans="1:4" x14ac:dyDescent="0.2">
      <c r="A3" t="s">
        <v>4</v>
      </c>
      <c r="B3" t="s">
        <v>66</v>
      </c>
      <c r="C3">
        <v>0.129075</v>
      </c>
      <c r="D3">
        <v>0.11935</v>
      </c>
    </row>
    <row r="4" spans="1:4" x14ac:dyDescent="0.2">
      <c r="A4" t="s">
        <v>5</v>
      </c>
      <c r="B4" t="s">
        <v>65</v>
      </c>
      <c r="C4">
        <v>0.51123333333333298</v>
      </c>
      <c r="D4">
        <v>0.52476666666666605</v>
      </c>
    </row>
    <row r="5" spans="1:4" x14ac:dyDescent="0.2">
      <c r="A5" t="s">
        <v>1</v>
      </c>
      <c r="B5" t="s">
        <v>63</v>
      </c>
      <c r="C5">
        <v>0.1353</v>
      </c>
      <c r="D5">
        <v>0.1424</v>
      </c>
    </row>
    <row r="6" spans="1:4" x14ac:dyDescent="0.2">
      <c r="A6" t="s">
        <v>2</v>
      </c>
      <c r="B6" t="s">
        <v>64</v>
      </c>
      <c r="C6">
        <v>0.42085</v>
      </c>
      <c r="D6">
        <v>0.51824999999999999</v>
      </c>
    </row>
    <row r="7" spans="1:4" x14ac:dyDescent="0.2">
      <c r="A7" t="s">
        <v>22</v>
      </c>
      <c r="B7" t="s">
        <v>57</v>
      </c>
      <c r="C7">
        <v>0.63</v>
      </c>
      <c r="D7">
        <v>0.625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AbsQuant Summary All Cell Lines</vt:lpstr>
      <vt:lpstr>Calculations 293HEK TRex</vt:lpstr>
      <vt:lpstr>Calculations 293T 17</vt:lpstr>
      <vt:lpstr>Calculations MRC5</vt:lpstr>
      <vt:lpstr>Calculations HeLa</vt:lpstr>
      <vt:lpstr>293HEK TRex Peptide_Ratio_Resul</vt:lpstr>
      <vt:lpstr>293T 17 Peptide_Ratio_Results</vt:lpstr>
      <vt:lpstr>MRC5 Peptide_Ratio_Results</vt:lpstr>
      <vt:lpstr>HeLa Peptide_Ratio_Results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Gary Kleiger</cp:lastModifiedBy>
  <dcterms:created xsi:type="dcterms:W3CDTF">2019-04-18T23:45:49Z</dcterms:created>
  <dcterms:modified xsi:type="dcterms:W3CDTF">2019-08-20T17:43:31Z</dcterms:modified>
</cp:coreProperties>
</file>