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8535" windowHeight="61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01" i="1"/>
  <c r="D100"/>
  <c r="C100"/>
  <c r="D99"/>
  <c r="C99"/>
  <c r="E84"/>
  <c r="D84"/>
  <c r="E83"/>
  <c r="D83"/>
  <c r="C83"/>
  <c r="E82"/>
  <c r="D82"/>
  <c r="C82"/>
  <c r="G67"/>
  <c r="F67"/>
  <c r="E67"/>
  <c r="D67"/>
  <c r="G66"/>
  <c r="F66"/>
  <c r="E66"/>
  <c r="D66"/>
  <c r="C66"/>
  <c r="G65"/>
  <c r="F65"/>
  <c r="E65"/>
  <c r="D65"/>
  <c r="C65"/>
  <c r="D4"/>
  <c r="E4"/>
  <c r="F4"/>
  <c r="D5"/>
  <c r="E5"/>
  <c r="E15" s="1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C5"/>
  <c r="C6"/>
  <c r="C7"/>
  <c r="C8"/>
  <c r="C9"/>
  <c r="C10"/>
  <c r="C11"/>
  <c r="C12"/>
  <c r="C13"/>
  <c r="C4"/>
  <c r="D21"/>
  <c r="E21"/>
  <c r="F21"/>
  <c r="G21"/>
  <c r="H21"/>
  <c r="H33" s="1"/>
  <c r="I21"/>
  <c r="J21"/>
  <c r="K21"/>
  <c r="L21"/>
  <c r="M21"/>
  <c r="N21"/>
  <c r="O21"/>
  <c r="P21"/>
  <c r="P33" s="1"/>
  <c r="Q21"/>
  <c r="D22"/>
  <c r="E22"/>
  <c r="F22"/>
  <c r="G22"/>
  <c r="H22"/>
  <c r="I22"/>
  <c r="J22"/>
  <c r="J33" s="1"/>
  <c r="K22"/>
  <c r="L22"/>
  <c r="M22"/>
  <c r="N22"/>
  <c r="N33" s="1"/>
  <c r="O22"/>
  <c r="P22"/>
  <c r="Q22"/>
  <c r="D23"/>
  <c r="E23"/>
  <c r="F23"/>
  <c r="G23"/>
  <c r="H23"/>
  <c r="I23"/>
  <c r="J23"/>
  <c r="K23"/>
  <c r="L23"/>
  <c r="M23"/>
  <c r="N23"/>
  <c r="O23"/>
  <c r="P23"/>
  <c r="Q23"/>
  <c r="D24"/>
  <c r="E24"/>
  <c r="F24"/>
  <c r="G24"/>
  <c r="H24"/>
  <c r="I24"/>
  <c r="J24"/>
  <c r="K24"/>
  <c r="L24"/>
  <c r="M24"/>
  <c r="N24"/>
  <c r="O24"/>
  <c r="P24"/>
  <c r="Q24"/>
  <c r="D25"/>
  <c r="E25"/>
  <c r="F25"/>
  <c r="G25"/>
  <c r="H25"/>
  <c r="I25"/>
  <c r="J25"/>
  <c r="K25"/>
  <c r="L25"/>
  <c r="M25"/>
  <c r="N25"/>
  <c r="O25"/>
  <c r="P25"/>
  <c r="Q25"/>
  <c r="D26"/>
  <c r="E26"/>
  <c r="F26"/>
  <c r="G26"/>
  <c r="H26"/>
  <c r="I26"/>
  <c r="J26"/>
  <c r="K26"/>
  <c r="L26"/>
  <c r="M26"/>
  <c r="N26"/>
  <c r="O26"/>
  <c r="P26"/>
  <c r="Q26"/>
  <c r="D27"/>
  <c r="E27"/>
  <c r="F27"/>
  <c r="G27"/>
  <c r="H27"/>
  <c r="I27"/>
  <c r="J27"/>
  <c r="K27"/>
  <c r="L27"/>
  <c r="M27"/>
  <c r="N27"/>
  <c r="O27"/>
  <c r="P27"/>
  <c r="Q27"/>
  <c r="D28"/>
  <c r="E28"/>
  <c r="F28"/>
  <c r="G28"/>
  <c r="H28"/>
  <c r="I28"/>
  <c r="J28"/>
  <c r="K28"/>
  <c r="L28"/>
  <c r="M28"/>
  <c r="N28"/>
  <c r="O28"/>
  <c r="P28"/>
  <c r="Q28"/>
  <c r="D29"/>
  <c r="E29"/>
  <c r="F29"/>
  <c r="G29"/>
  <c r="H29"/>
  <c r="I29"/>
  <c r="J29"/>
  <c r="K29"/>
  <c r="L29"/>
  <c r="M29"/>
  <c r="N29"/>
  <c r="O29"/>
  <c r="P29"/>
  <c r="Q29"/>
  <c r="D30"/>
  <c r="E30"/>
  <c r="F30"/>
  <c r="G30"/>
  <c r="H30"/>
  <c r="I30"/>
  <c r="J30"/>
  <c r="K30"/>
  <c r="L30"/>
  <c r="M30"/>
  <c r="N30"/>
  <c r="O30"/>
  <c r="P30"/>
  <c r="Q30"/>
  <c r="C22"/>
  <c r="I33" s="1"/>
  <c r="C23"/>
  <c r="C24"/>
  <c r="C25"/>
  <c r="C26"/>
  <c r="C27"/>
  <c r="C28"/>
  <c r="C29"/>
  <c r="C30"/>
  <c r="C21"/>
  <c r="D38"/>
  <c r="G50" s="1"/>
  <c r="E38"/>
  <c r="E48" s="1"/>
  <c r="F38"/>
  <c r="G38"/>
  <c r="H38"/>
  <c r="H49" s="1"/>
  <c r="I38"/>
  <c r="I48" s="1"/>
  <c r="J38"/>
  <c r="K38"/>
  <c r="L38"/>
  <c r="L48" s="1"/>
  <c r="M38"/>
  <c r="N38"/>
  <c r="O38"/>
  <c r="P38"/>
  <c r="P50" s="1"/>
  <c r="Q38"/>
  <c r="Q48" s="1"/>
  <c r="D39"/>
  <c r="E39"/>
  <c r="F39"/>
  <c r="G39"/>
  <c r="H39"/>
  <c r="I39"/>
  <c r="J39"/>
  <c r="J50" s="1"/>
  <c r="K39"/>
  <c r="K49" s="1"/>
  <c r="L39"/>
  <c r="M39"/>
  <c r="N39"/>
  <c r="O39"/>
  <c r="O49" s="1"/>
  <c r="P39"/>
  <c r="Q39"/>
  <c r="D40"/>
  <c r="E40"/>
  <c r="F40"/>
  <c r="G40"/>
  <c r="H40"/>
  <c r="I40"/>
  <c r="J40"/>
  <c r="K40"/>
  <c r="L40"/>
  <c r="M40"/>
  <c r="N40"/>
  <c r="O40"/>
  <c r="P40"/>
  <c r="Q40"/>
  <c r="D41"/>
  <c r="E41"/>
  <c r="F41"/>
  <c r="G41"/>
  <c r="H41"/>
  <c r="I41"/>
  <c r="J41"/>
  <c r="K41"/>
  <c r="L41"/>
  <c r="M41"/>
  <c r="N41"/>
  <c r="O41"/>
  <c r="P41"/>
  <c r="Q41"/>
  <c r="D42"/>
  <c r="E42"/>
  <c r="F42"/>
  <c r="G42"/>
  <c r="H42"/>
  <c r="I42"/>
  <c r="J42"/>
  <c r="K42"/>
  <c r="L42"/>
  <c r="M42"/>
  <c r="N42"/>
  <c r="O42"/>
  <c r="P42"/>
  <c r="Q42"/>
  <c r="D43"/>
  <c r="E43"/>
  <c r="F43"/>
  <c r="G43"/>
  <c r="H43"/>
  <c r="I43"/>
  <c r="J43"/>
  <c r="K43"/>
  <c r="L43"/>
  <c r="M43"/>
  <c r="N43"/>
  <c r="O43"/>
  <c r="P43"/>
  <c r="Q43"/>
  <c r="D44"/>
  <c r="E44"/>
  <c r="F44"/>
  <c r="G44"/>
  <c r="H44"/>
  <c r="I44"/>
  <c r="J44"/>
  <c r="K44"/>
  <c r="L44"/>
  <c r="M44"/>
  <c r="N44"/>
  <c r="O44"/>
  <c r="P44"/>
  <c r="Q44"/>
  <c r="D45"/>
  <c r="E45"/>
  <c r="F45"/>
  <c r="G45"/>
  <c r="H45"/>
  <c r="I45"/>
  <c r="J45"/>
  <c r="K45"/>
  <c r="L45"/>
  <c r="M45"/>
  <c r="N45"/>
  <c r="O45"/>
  <c r="P45"/>
  <c r="Q45"/>
  <c r="D46"/>
  <c r="E46"/>
  <c r="F46"/>
  <c r="G46"/>
  <c r="H46"/>
  <c r="I46"/>
  <c r="J46"/>
  <c r="K46"/>
  <c r="L46"/>
  <c r="M46"/>
  <c r="N46"/>
  <c r="O46"/>
  <c r="P46"/>
  <c r="Q46"/>
  <c r="D47"/>
  <c r="E47"/>
  <c r="F47"/>
  <c r="G47"/>
  <c r="H47"/>
  <c r="I47"/>
  <c r="J47"/>
  <c r="K47"/>
  <c r="L47"/>
  <c r="M47"/>
  <c r="N47"/>
  <c r="O47"/>
  <c r="P47"/>
  <c r="Q47"/>
  <c r="C39"/>
  <c r="C40"/>
  <c r="C41"/>
  <c r="C42"/>
  <c r="C43"/>
  <c r="C44"/>
  <c r="C45"/>
  <c r="C46"/>
  <c r="C47"/>
  <c r="C38"/>
  <c r="AX47"/>
  <c r="AW47"/>
  <c r="AV47"/>
  <c r="AU47"/>
  <c r="AT47"/>
  <c r="AS47"/>
  <c r="AR47"/>
  <c r="AQ47"/>
  <c r="AP47"/>
  <c r="AO47"/>
  <c r="AN47"/>
  <c r="AM47"/>
  <c r="AL47"/>
  <c r="AK47"/>
  <c r="AJ47"/>
  <c r="AX46"/>
  <c r="AW46"/>
  <c r="AV46"/>
  <c r="AU46"/>
  <c r="AT46"/>
  <c r="AS46"/>
  <c r="AR46"/>
  <c r="AQ46"/>
  <c r="AP46"/>
  <c r="AO46"/>
  <c r="AN46"/>
  <c r="AM46"/>
  <c r="AL46"/>
  <c r="AK46"/>
  <c r="AJ46"/>
  <c r="AX45"/>
  <c r="AW45"/>
  <c r="AV45"/>
  <c r="AU45"/>
  <c r="AT45"/>
  <c r="AS45"/>
  <c r="AR45"/>
  <c r="AQ45"/>
  <c r="AP45"/>
  <c r="AO45"/>
  <c r="AN45"/>
  <c r="AM45"/>
  <c r="AL45"/>
  <c r="AK45"/>
  <c r="AJ45"/>
  <c r="AX44"/>
  <c r="AW44"/>
  <c r="AV44"/>
  <c r="AU44"/>
  <c r="AT44"/>
  <c r="AS44"/>
  <c r="AR44"/>
  <c r="AQ44"/>
  <c r="AP44"/>
  <c r="AO44"/>
  <c r="AN44"/>
  <c r="AM44"/>
  <c r="AL44"/>
  <c r="AK44"/>
  <c r="AJ44"/>
  <c r="AX43"/>
  <c r="AW43"/>
  <c r="AV43"/>
  <c r="AU43"/>
  <c r="AT43"/>
  <c r="AS43"/>
  <c r="AR43"/>
  <c r="AQ43"/>
  <c r="AP43"/>
  <c r="AO43"/>
  <c r="AN43"/>
  <c r="AM43"/>
  <c r="AL43"/>
  <c r="AK43"/>
  <c r="AJ43"/>
  <c r="AX42"/>
  <c r="AW42"/>
  <c r="AV42"/>
  <c r="AU42"/>
  <c r="AT42"/>
  <c r="AS42"/>
  <c r="AR42"/>
  <c r="AQ42"/>
  <c r="AP42"/>
  <c r="AO42"/>
  <c r="AN42"/>
  <c r="AM42"/>
  <c r="AL42"/>
  <c r="AK42"/>
  <c r="AJ42"/>
  <c r="AX41"/>
  <c r="AW41"/>
  <c r="AV41"/>
  <c r="AU41"/>
  <c r="AT41"/>
  <c r="AS41"/>
  <c r="AR41"/>
  <c r="AQ41"/>
  <c r="AP41"/>
  <c r="AO41"/>
  <c r="AN41"/>
  <c r="AM41"/>
  <c r="AL41"/>
  <c r="AK41"/>
  <c r="AJ41"/>
  <c r="AX40"/>
  <c r="AW40"/>
  <c r="AV40"/>
  <c r="AU40"/>
  <c r="AT40"/>
  <c r="AS40"/>
  <c r="AR40"/>
  <c r="AQ40"/>
  <c r="AP40"/>
  <c r="AO40"/>
  <c r="AN40"/>
  <c r="AM40"/>
  <c r="AL40"/>
  <c r="AK40"/>
  <c r="AJ40"/>
  <c r="AX39"/>
  <c r="AX49" s="1"/>
  <c r="AW39"/>
  <c r="AV39"/>
  <c r="AV49" s="1"/>
  <c r="AU39"/>
  <c r="AT39"/>
  <c r="AT49" s="1"/>
  <c r="AS39"/>
  <c r="AR39"/>
  <c r="AR50" s="1"/>
  <c r="AQ39"/>
  <c r="AP39"/>
  <c r="AP50" s="1"/>
  <c r="AO39"/>
  <c r="AN39"/>
  <c r="AN50" s="1"/>
  <c r="AM39"/>
  <c r="AL39"/>
  <c r="AL49" s="1"/>
  <c r="AK39"/>
  <c r="AJ39"/>
  <c r="AJ49" s="1"/>
  <c r="AX38"/>
  <c r="AX48" s="1"/>
  <c r="AW38"/>
  <c r="AW49" s="1"/>
  <c r="AV38"/>
  <c r="AV48" s="1"/>
  <c r="AU38"/>
  <c r="AU50" s="1"/>
  <c r="AT38"/>
  <c r="AT50" s="1"/>
  <c r="AS38"/>
  <c r="AS49" s="1"/>
  <c r="AR38"/>
  <c r="AR48" s="1"/>
  <c r="AQ38"/>
  <c r="AQ50" s="1"/>
  <c r="AP38"/>
  <c r="AP48" s="1"/>
  <c r="AO38"/>
  <c r="AO50" s="1"/>
  <c r="AN38"/>
  <c r="AN48" s="1"/>
  <c r="AM38"/>
  <c r="AM50" s="1"/>
  <c r="AL38"/>
  <c r="AL48" s="1"/>
  <c r="AK38"/>
  <c r="AK49" s="1"/>
  <c r="AJ38"/>
  <c r="AJ48" s="1"/>
  <c r="AX30"/>
  <c r="AW30"/>
  <c r="AV30"/>
  <c r="AU30"/>
  <c r="AT30"/>
  <c r="AS30"/>
  <c r="AR30"/>
  <c r="AQ30"/>
  <c r="AP30"/>
  <c r="AO30"/>
  <c r="AN30"/>
  <c r="AM30"/>
  <c r="AL30"/>
  <c r="AK30"/>
  <c r="AJ30"/>
  <c r="AX29"/>
  <c r="AW29"/>
  <c r="AV29"/>
  <c r="AU29"/>
  <c r="AT29"/>
  <c r="AS29"/>
  <c r="AR29"/>
  <c r="AQ29"/>
  <c r="AP29"/>
  <c r="AO29"/>
  <c r="AN29"/>
  <c r="AM29"/>
  <c r="AL29"/>
  <c r="AK29"/>
  <c r="AJ29"/>
  <c r="AX28"/>
  <c r="AW28"/>
  <c r="AV28"/>
  <c r="AU28"/>
  <c r="AT28"/>
  <c r="AS28"/>
  <c r="AR28"/>
  <c r="AQ28"/>
  <c r="AP28"/>
  <c r="AO28"/>
  <c r="AN28"/>
  <c r="AM28"/>
  <c r="AL28"/>
  <c r="AK28"/>
  <c r="AJ28"/>
  <c r="AX27"/>
  <c r="AW27"/>
  <c r="AV27"/>
  <c r="AU27"/>
  <c r="AT27"/>
  <c r="AS27"/>
  <c r="AR27"/>
  <c r="AQ27"/>
  <c r="AP27"/>
  <c r="AO27"/>
  <c r="AN27"/>
  <c r="AM27"/>
  <c r="AL27"/>
  <c r="AK27"/>
  <c r="AJ27"/>
  <c r="AX26"/>
  <c r="AW26"/>
  <c r="AV26"/>
  <c r="AU26"/>
  <c r="AT26"/>
  <c r="AS26"/>
  <c r="AR26"/>
  <c r="AQ26"/>
  <c r="AP26"/>
  <c r="AO26"/>
  <c r="AN26"/>
  <c r="AM26"/>
  <c r="AL26"/>
  <c r="AK26"/>
  <c r="AJ26"/>
  <c r="AX25"/>
  <c r="AW25"/>
  <c r="AV25"/>
  <c r="AU25"/>
  <c r="AT25"/>
  <c r="AS25"/>
  <c r="AR25"/>
  <c r="AQ25"/>
  <c r="AP25"/>
  <c r="AO25"/>
  <c r="AN25"/>
  <c r="AM25"/>
  <c r="AL25"/>
  <c r="AK25"/>
  <c r="AJ25"/>
  <c r="AX24"/>
  <c r="AW24"/>
  <c r="AV24"/>
  <c r="AV32" s="1"/>
  <c r="AU24"/>
  <c r="AT24"/>
  <c r="AS24"/>
  <c r="AR24"/>
  <c r="AR33" s="1"/>
  <c r="AQ24"/>
  <c r="AP24"/>
  <c r="AO24"/>
  <c r="AN24"/>
  <c r="AN32" s="1"/>
  <c r="AM24"/>
  <c r="AL24"/>
  <c r="AK24"/>
  <c r="AJ24"/>
  <c r="AJ32" s="1"/>
  <c r="AX23"/>
  <c r="AW23"/>
  <c r="AV23"/>
  <c r="AU23"/>
  <c r="AU31" s="1"/>
  <c r="AT23"/>
  <c r="AS23"/>
  <c r="AR23"/>
  <c r="AQ23"/>
  <c r="AQ31" s="1"/>
  <c r="AP23"/>
  <c r="AO23"/>
  <c r="AN23"/>
  <c r="AM23"/>
  <c r="AM33" s="1"/>
  <c r="AL23"/>
  <c r="AK23"/>
  <c r="AJ23"/>
  <c r="AX22"/>
  <c r="AX32" s="1"/>
  <c r="AW22"/>
  <c r="AV22"/>
  <c r="AU22"/>
  <c r="AT22"/>
  <c r="AT32" s="1"/>
  <c r="AS22"/>
  <c r="AR22"/>
  <c r="AQ22"/>
  <c r="AP22"/>
  <c r="AP33" s="1"/>
  <c r="AO22"/>
  <c r="AN22"/>
  <c r="AM22"/>
  <c r="AL22"/>
  <c r="AL31" s="1"/>
  <c r="AK22"/>
  <c r="AJ22"/>
  <c r="AX21"/>
  <c r="AW21"/>
  <c r="AW32" s="1"/>
  <c r="AV21"/>
  <c r="AV31" s="1"/>
  <c r="AU21"/>
  <c r="AU33" s="1"/>
  <c r="AT21"/>
  <c r="AT33" s="1"/>
  <c r="AS21"/>
  <c r="AS32" s="1"/>
  <c r="AR21"/>
  <c r="AR31" s="1"/>
  <c r="AQ21"/>
  <c r="AP21"/>
  <c r="AO21"/>
  <c r="AO33" s="1"/>
  <c r="AN21"/>
  <c r="AN31" s="1"/>
  <c r="AM21"/>
  <c r="AL21"/>
  <c r="AK21"/>
  <c r="AK32" s="1"/>
  <c r="AJ21"/>
  <c r="AJ31" s="1"/>
  <c r="X16"/>
  <c r="X13"/>
  <c r="W13"/>
  <c r="V13"/>
  <c r="U13"/>
  <c r="X12"/>
  <c r="W12"/>
  <c r="V12"/>
  <c r="U12"/>
  <c r="X11"/>
  <c r="W11"/>
  <c r="V11"/>
  <c r="U11"/>
  <c r="X10"/>
  <c r="W10"/>
  <c r="V10"/>
  <c r="U10"/>
  <c r="X9"/>
  <c r="W9"/>
  <c r="V9"/>
  <c r="U9"/>
  <c r="X8"/>
  <c r="W8"/>
  <c r="V8"/>
  <c r="U8"/>
  <c r="X7"/>
  <c r="W7"/>
  <c r="V7"/>
  <c r="U7"/>
  <c r="X6"/>
  <c r="W6"/>
  <c r="V6"/>
  <c r="U6"/>
  <c r="X5"/>
  <c r="W5"/>
  <c r="V5"/>
  <c r="U5"/>
  <c r="X4"/>
  <c r="X15" s="1"/>
  <c r="W4"/>
  <c r="W15" s="1"/>
  <c r="V4"/>
  <c r="V15" s="1"/>
  <c r="U4"/>
  <c r="W16" s="1"/>
  <c r="N50"/>
  <c r="H50"/>
  <c r="Q33"/>
  <c r="M33"/>
  <c r="K33"/>
  <c r="G33"/>
  <c r="P49"/>
  <c r="M48"/>
  <c r="F49"/>
  <c r="J49"/>
  <c r="I49"/>
  <c r="P48"/>
  <c r="O48"/>
  <c r="F33" l="1"/>
  <c r="M50"/>
  <c r="L49"/>
  <c r="D49"/>
  <c r="K50"/>
  <c r="Q50"/>
  <c r="H48"/>
  <c r="I50"/>
  <c r="C49"/>
  <c r="F50"/>
  <c r="AM48"/>
  <c r="AQ48"/>
  <c r="AU48"/>
  <c r="AN49"/>
  <c r="AR49"/>
  <c r="AX50"/>
  <c r="AT48"/>
  <c r="AM49"/>
  <c r="AQ49"/>
  <c r="AU49"/>
  <c r="AW50"/>
  <c r="AK48"/>
  <c r="AO48"/>
  <c r="AS48"/>
  <c r="AW48"/>
  <c r="AP49"/>
  <c r="AO49"/>
  <c r="AN33"/>
  <c r="AX33"/>
  <c r="AP31"/>
  <c r="AX31"/>
  <c r="AQ32"/>
  <c r="AU32"/>
  <c r="AQ33"/>
  <c r="AO31"/>
  <c r="AL32"/>
  <c r="AM31"/>
  <c r="AR32"/>
  <c r="AT31"/>
  <c r="AM32"/>
  <c r="AW33"/>
  <c r="AK31"/>
  <c r="AS31"/>
  <c r="AW31"/>
  <c r="AP32"/>
  <c r="AO32"/>
  <c r="V14"/>
  <c r="U14"/>
  <c r="U15"/>
  <c r="X14"/>
  <c r="W14"/>
  <c r="C14"/>
  <c r="C15"/>
  <c r="E16"/>
  <c r="F14"/>
  <c r="F15"/>
  <c r="C48"/>
  <c r="N48"/>
  <c r="J48"/>
  <c r="F48"/>
  <c r="Q49"/>
  <c r="M49"/>
  <c r="E49"/>
  <c r="G48"/>
  <c r="N49"/>
  <c r="K48"/>
  <c r="D48"/>
  <c r="G49"/>
  <c r="E14"/>
  <c r="L31"/>
  <c r="K32"/>
  <c r="J31"/>
  <c r="F32"/>
  <c r="C32"/>
  <c r="Q31" l="1"/>
  <c r="N32"/>
  <c r="P31"/>
  <c r="O31"/>
  <c r="C31"/>
  <c r="D31"/>
  <c r="H31"/>
  <c r="I32"/>
  <c r="N31"/>
  <c r="O32"/>
  <c r="E32"/>
  <c r="M32"/>
  <c r="D32"/>
  <c r="F31"/>
  <c r="M31"/>
  <c r="I31"/>
  <c r="E31"/>
  <c r="P32"/>
  <c r="L32"/>
  <c r="H32"/>
  <c r="K31"/>
  <c r="G31"/>
  <c r="J32"/>
  <c r="G32"/>
  <c r="Q32"/>
  <c r="D14" l="1"/>
  <c r="D15"/>
  <c r="F16"/>
</calcChain>
</file>

<file path=xl/sharedStrings.xml><?xml version="1.0" encoding="utf-8"?>
<sst xmlns="http://schemas.openxmlformats.org/spreadsheetml/2006/main" count="197" uniqueCount="42">
  <si>
    <t>Pre-progenitor</t>
  </si>
  <si>
    <t>progenitor</t>
  </si>
  <si>
    <t>Intermediate Progenitor</t>
  </si>
  <si>
    <t>mL2 (36 hr AEH)</t>
  </si>
  <si>
    <t>eL3 (54 hr AEH)</t>
  </si>
  <si>
    <t>eL3 (70 hr AEH)</t>
  </si>
  <si>
    <t>mL3 (84 hr AEH)</t>
  </si>
  <si>
    <t>lL3 (96 hr AEH)</t>
  </si>
  <si>
    <t>n</t>
  </si>
  <si>
    <t>Average</t>
  </si>
  <si>
    <t>Std dev</t>
  </si>
  <si>
    <t>t test</t>
  </si>
  <si>
    <t>mL2(36 hr AEH)</t>
  </si>
  <si>
    <t>eL3(54 hr AEH)</t>
  </si>
  <si>
    <t>eL3(70 hr AEH)</t>
  </si>
  <si>
    <t>mL3(84 hr AEH)</t>
  </si>
  <si>
    <t>lL3(96 hr AEH)</t>
  </si>
  <si>
    <t>Percentage of progenitor sub-populations in primary lobe of lymph gland</t>
  </si>
  <si>
    <t>Fraction of progenitor sub-populations in primary lobe of lymph gland</t>
  </si>
  <si>
    <t>Percentage of progenitor sub-populations in primary lobe of control lymph gland</t>
  </si>
  <si>
    <r>
      <t>Percentage of progenitor sub-populations in primary lobe of whd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/whd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lymph gland</t>
    </r>
  </si>
  <si>
    <t>Differentiation level in FAO gene null loss of function</t>
  </si>
  <si>
    <t>OreR</t>
  </si>
  <si>
    <r>
      <t>Hnf4</t>
    </r>
    <r>
      <rPr>
        <b/>
        <i/>
        <vertAlign val="superscript"/>
        <sz val="11"/>
        <color rgb="FFFF0000"/>
        <rFont val="Calibri"/>
        <family val="2"/>
        <scheme val="minor"/>
      </rPr>
      <t>Δ17</t>
    </r>
    <r>
      <rPr>
        <b/>
        <i/>
        <sz val="11"/>
        <color rgb="FFFF0000"/>
        <rFont val="Calibri"/>
        <family val="2"/>
        <scheme val="minor"/>
      </rPr>
      <t>/ Hnf4</t>
    </r>
    <r>
      <rPr>
        <b/>
        <i/>
        <vertAlign val="superscript"/>
        <sz val="11"/>
        <color rgb="FFFF0000"/>
        <rFont val="Calibri"/>
        <family val="2"/>
        <scheme val="minor"/>
      </rPr>
      <t>Δ33</t>
    </r>
  </si>
  <si>
    <r>
      <t>Mtp</t>
    </r>
    <r>
      <rPr>
        <b/>
        <i/>
        <sz val="11"/>
        <color rgb="FFFF0000"/>
        <rFont val="Calibri"/>
        <family val="2"/>
      </rPr>
      <t>α</t>
    </r>
    <r>
      <rPr>
        <b/>
        <i/>
        <vertAlign val="superscript"/>
        <sz val="11"/>
        <color rgb="FFFF0000"/>
        <rFont val="Calibri"/>
        <family val="2"/>
      </rPr>
      <t>KO</t>
    </r>
  </si>
  <si>
    <r>
      <t>Mtp</t>
    </r>
    <r>
      <rPr>
        <b/>
        <i/>
        <sz val="11"/>
        <color rgb="FFFF0000"/>
        <rFont val="Calibri"/>
        <family val="2"/>
      </rPr>
      <t>β</t>
    </r>
    <r>
      <rPr>
        <b/>
        <i/>
        <vertAlign val="superscript"/>
        <sz val="11"/>
        <color rgb="FFFF0000"/>
        <rFont val="Calibri"/>
        <family val="2"/>
      </rPr>
      <t>KO</t>
    </r>
  </si>
  <si>
    <t>whd1/whd1</t>
  </si>
  <si>
    <t>ttest</t>
  </si>
  <si>
    <t>Differentiation level in lymph gland with FAO blocked by pharmaceutical inhibitors</t>
  </si>
  <si>
    <t>Standard Deviation</t>
  </si>
  <si>
    <t>Student's t-test</t>
  </si>
  <si>
    <r>
      <t>Differentiation level in whd RNAi</t>
    </r>
    <r>
      <rPr>
        <b/>
        <vertAlign val="superscript"/>
        <sz val="11"/>
        <color theme="1"/>
        <rFont val="Calibri"/>
        <family val="2"/>
        <scheme val="minor"/>
      </rPr>
      <t>KK</t>
    </r>
    <r>
      <rPr>
        <b/>
        <sz val="11"/>
        <color theme="1"/>
        <rFont val="Calibri"/>
        <family val="2"/>
        <scheme val="minor"/>
      </rPr>
      <t xml:space="preserve"> knockdown from TepIV-GAL4 hemocyte progenitor</t>
    </r>
  </si>
  <si>
    <t>dome&gt;GFP/+</t>
  </si>
  <si>
    <r>
      <t>dome&gt;GFP/+; whd</t>
    </r>
    <r>
      <rPr>
        <b/>
        <i/>
        <vertAlign val="superscript"/>
        <sz val="11"/>
        <color theme="1"/>
        <rFont val="Calibri"/>
        <family val="2"/>
        <scheme val="minor"/>
      </rPr>
      <t>1</t>
    </r>
    <r>
      <rPr>
        <b/>
        <i/>
        <sz val="11"/>
        <color theme="1"/>
        <rFont val="Calibri"/>
        <family val="2"/>
        <scheme val="minor"/>
      </rPr>
      <t>/whd</t>
    </r>
    <r>
      <rPr>
        <b/>
        <i/>
        <vertAlign val="superscript"/>
        <sz val="11"/>
        <color theme="1"/>
        <rFont val="Calibri"/>
        <family val="2"/>
        <scheme val="minor"/>
      </rPr>
      <t>1</t>
    </r>
  </si>
  <si>
    <r>
      <t>dome&gt;GFP; whd</t>
    </r>
    <r>
      <rPr>
        <b/>
        <i/>
        <vertAlign val="superscript"/>
        <sz val="11"/>
        <color theme="1"/>
        <rFont val="Calibri"/>
        <family val="2"/>
        <scheme val="minor"/>
      </rPr>
      <t>1</t>
    </r>
    <r>
      <rPr>
        <b/>
        <i/>
        <sz val="11"/>
        <color theme="1"/>
        <rFont val="Calibri"/>
        <family val="2"/>
        <scheme val="minor"/>
      </rPr>
      <t>/whd</t>
    </r>
    <r>
      <rPr>
        <b/>
        <i/>
        <vertAlign val="superscript"/>
        <sz val="11"/>
        <color theme="1"/>
        <rFont val="Calibri"/>
        <family val="2"/>
        <scheme val="minor"/>
      </rPr>
      <t>1</t>
    </r>
  </si>
  <si>
    <t>dome/+</t>
  </si>
  <si>
    <r>
      <t xml:space="preserve">dome/+ </t>
    </r>
    <r>
      <rPr>
        <b/>
        <sz val="11"/>
        <color theme="1"/>
        <rFont val="Cambria"/>
        <family val="1"/>
        <scheme val="major"/>
      </rPr>
      <t>+Etomoxir</t>
    </r>
  </si>
  <si>
    <r>
      <t xml:space="preserve">dome/+ </t>
    </r>
    <r>
      <rPr>
        <b/>
        <sz val="11"/>
        <color theme="1"/>
        <rFont val="Cambria"/>
        <family val="1"/>
        <scheme val="major"/>
      </rPr>
      <t>+Mildronate</t>
    </r>
  </si>
  <si>
    <t>TepIV-Gal4</t>
  </si>
  <si>
    <t>TepIV &gt; whd.i</t>
  </si>
  <si>
    <t>Ratio of progenitor sub-populations in primary lobe of control lymph gland</t>
  </si>
  <si>
    <r>
      <t>Ratio of progenitor sub-populations in primary lobe of whd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/whd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lymph gland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</si>
</sst>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vertAlign val="superscript"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b/>
      <i/>
      <vertAlign val="superscript"/>
      <sz val="11"/>
      <color rgb="FFFF0000"/>
      <name val="Calibri"/>
      <family val="2"/>
    </font>
    <font>
      <b/>
      <i/>
      <sz val="11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0" fillId="0" borderId="0" xfId="0" applyFill="1"/>
    <xf numFmtId="0" fontId="8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54F31"/>
      <color rgb="FF5A5434"/>
      <color rgb="FFD16057"/>
      <color rgb="FFC9453B"/>
      <color rgb="FFAE3930"/>
      <color rgb="FFBA3E34"/>
      <color rgb="FFFF5050"/>
      <color rgb="FFF5250F"/>
      <color rgb="FFB3422B"/>
      <color rgb="FFFF575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8469811816816642"/>
          <c:y val="9.769685039370099E-2"/>
          <c:w val="0.7847462445802087"/>
          <c:h val="0.69542432195975457"/>
        </c:manualLayout>
      </c:layout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Sheet1!$T$44:$X$44</c:f>
                <c:numCache>
                  <c:formatCode>General</c:formatCode>
                  <c:ptCount val="5"/>
                  <c:pt idx="0">
                    <c:v>1.3174422312140189E-2</c:v>
                  </c:pt>
                  <c:pt idx="1">
                    <c:v>1.2899741497389585E-2</c:v>
                  </c:pt>
                  <c:pt idx="2">
                    <c:v>5.1978430625115443E-3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Sheet1!$T$44:$X$44</c:f>
                <c:numCache>
                  <c:formatCode>General</c:formatCode>
                  <c:ptCount val="5"/>
                  <c:pt idx="0">
                    <c:v>1.3174422312140189E-2</c:v>
                  </c:pt>
                  <c:pt idx="1">
                    <c:v>1.2899741497389585E-2</c:v>
                  </c:pt>
                  <c:pt idx="2">
                    <c:v>5.1978430625115443E-3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Sheet1!$T$38:$X$38</c:f>
              <c:strCache>
                <c:ptCount val="5"/>
                <c:pt idx="0">
                  <c:v>mL2(36 hr AEH)</c:v>
                </c:pt>
                <c:pt idx="1">
                  <c:v>eL3(54 hr AEH)</c:v>
                </c:pt>
                <c:pt idx="2">
                  <c:v>eL3(70 hr AEH)</c:v>
                </c:pt>
                <c:pt idx="3">
                  <c:v>mL3(84 hr AEH)</c:v>
                </c:pt>
                <c:pt idx="4">
                  <c:v>lL3(96 hr AEH)</c:v>
                </c:pt>
              </c:strCache>
            </c:strRef>
          </c:cat>
          <c:val>
            <c:numRef>
              <c:f>Sheet1!$T$39:$X$39</c:f>
              <c:numCache>
                <c:formatCode>General</c:formatCode>
                <c:ptCount val="5"/>
                <c:pt idx="0">
                  <c:v>5.3431843134047141E-2</c:v>
                </c:pt>
                <c:pt idx="1">
                  <c:v>4.0008754044423105E-2</c:v>
                </c:pt>
                <c:pt idx="2">
                  <c:v>1.1113044364910526E-2</c:v>
                </c:pt>
                <c:pt idx="3">
                  <c:v>1.2152877824519616E-4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errBars>
            <c:errBarType val="both"/>
            <c:errValType val="cust"/>
            <c:plus>
              <c:numRef>
                <c:f>Sheet1!$T$45:$X$45</c:f>
                <c:numCache>
                  <c:formatCode>General</c:formatCode>
                  <c:ptCount val="5"/>
                  <c:pt idx="0">
                    <c:v>3.0483844438089054E-2</c:v>
                  </c:pt>
                  <c:pt idx="1">
                    <c:v>2.5414624471808343E-2</c:v>
                  </c:pt>
                  <c:pt idx="2">
                    <c:v>3.6667460170112735E-2</c:v>
                  </c:pt>
                  <c:pt idx="3">
                    <c:v>3.5990824083400846E-2</c:v>
                  </c:pt>
                  <c:pt idx="4">
                    <c:v>3.7826339069507914E-2</c:v>
                  </c:pt>
                </c:numCache>
              </c:numRef>
            </c:plus>
            <c:minus>
              <c:numRef>
                <c:f>Sheet1!$T$45:$X$45</c:f>
                <c:numCache>
                  <c:formatCode>General</c:formatCode>
                  <c:ptCount val="5"/>
                  <c:pt idx="0">
                    <c:v>3.0483844438089054E-2</c:v>
                  </c:pt>
                  <c:pt idx="1">
                    <c:v>2.5414624471808343E-2</c:v>
                  </c:pt>
                  <c:pt idx="2">
                    <c:v>3.6667460170112735E-2</c:v>
                  </c:pt>
                  <c:pt idx="3">
                    <c:v>3.5990824083400846E-2</c:v>
                  </c:pt>
                  <c:pt idx="4">
                    <c:v>3.7826339069507914E-2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Sheet1!$T$38:$X$38</c:f>
              <c:strCache>
                <c:ptCount val="5"/>
                <c:pt idx="0">
                  <c:v>mL2(36 hr AEH)</c:v>
                </c:pt>
                <c:pt idx="1">
                  <c:v>eL3(54 hr AEH)</c:v>
                </c:pt>
                <c:pt idx="2">
                  <c:v>eL3(70 hr AEH)</c:v>
                </c:pt>
                <c:pt idx="3">
                  <c:v>mL3(84 hr AEH)</c:v>
                </c:pt>
                <c:pt idx="4">
                  <c:v>lL3(96 hr AEH)</c:v>
                </c:pt>
              </c:strCache>
            </c:strRef>
          </c:cat>
          <c:val>
            <c:numRef>
              <c:f>Sheet1!$T$40:$X$40</c:f>
              <c:numCache>
                <c:formatCode>General</c:formatCode>
                <c:ptCount val="5"/>
                <c:pt idx="0">
                  <c:v>0.83980644799169291</c:v>
                </c:pt>
                <c:pt idx="1">
                  <c:v>0.87874863390229441</c:v>
                </c:pt>
                <c:pt idx="2">
                  <c:v>0.86096970819508578</c:v>
                </c:pt>
                <c:pt idx="3">
                  <c:v>0.82899587249928075</c:v>
                </c:pt>
                <c:pt idx="4">
                  <c:v>0.75667387665742591</c:v>
                </c:pt>
              </c:numCache>
            </c:numRef>
          </c:val>
        </c:ser>
        <c:ser>
          <c:idx val="2"/>
          <c:order val="2"/>
          <c:errBars>
            <c:errBarType val="both"/>
            <c:errValType val="cust"/>
            <c:plus>
              <c:numRef>
                <c:f>Sheet1!$T$46:$X$46</c:f>
                <c:numCache>
                  <c:formatCode>General</c:formatCode>
                  <c:ptCount val="5"/>
                  <c:pt idx="0">
                    <c:v>1.1594170493221076E-2</c:v>
                  </c:pt>
                  <c:pt idx="1">
                    <c:v>1.7147173017992255E-2</c:v>
                  </c:pt>
                  <c:pt idx="2">
                    <c:v>2.0551880785593942E-2</c:v>
                  </c:pt>
                  <c:pt idx="3">
                    <c:v>1.3563606691549572E-2</c:v>
                  </c:pt>
                  <c:pt idx="4">
                    <c:v>2.0858182083195273E-2</c:v>
                  </c:pt>
                </c:numCache>
              </c:numRef>
            </c:plus>
            <c:minus>
              <c:numRef>
                <c:f>Sheet1!$T$46:$X$46</c:f>
                <c:numCache>
                  <c:formatCode>General</c:formatCode>
                  <c:ptCount val="5"/>
                  <c:pt idx="0">
                    <c:v>1.1594170493221076E-2</c:v>
                  </c:pt>
                  <c:pt idx="1">
                    <c:v>1.7147173017992255E-2</c:v>
                  </c:pt>
                  <c:pt idx="2">
                    <c:v>2.0551880785593942E-2</c:v>
                  </c:pt>
                  <c:pt idx="3">
                    <c:v>1.3563606691549572E-2</c:v>
                  </c:pt>
                  <c:pt idx="4">
                    <c:v>2.0858182083195273E-2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Sheet1!$T$38:$X$38</c:f>
              <c:strCache>
                <c:ptCount val="5"/>
                <c:pt idx="0">
                  <c:v>mL2(36 hr AEH)</c:v>
                </c:pt>
                <c:pt idx="1">
                  <c:v>eL3(54 hr AEH)</c:v>
                </c:pt>
                <c:pt idx="2">
                  <c:v>eL3(70 hr AEH)</c:v>
                </c:pt>
                <c:pt idx="3">
                  <c:v>mL3(84 hr AEH)</c:v>
                </c:pt>
                <c:pt idx="4">
                  <c:v>lL3(96 hr AEH)</c:v>
                </c:pt>
              </c:strCache>
            </c:strRef>
          </c:cat>
          <c:val>
            <c:numRef>
              <c:f>Sheet1!$T$41:$X$41</c:f>
              <c:numCache>
                <c:formatCode>General</c:formatCode>
                <c:ptCount val="5"/>
                <c:pt idx="0">
                  <c:v>2.5212663542230507E-2</c:v>
                </c:pt>
                <c:pt idx="1">
                  <c:v>5.6004698377807069E-2</c:v>
                </c:pt>
                <c:pt idx="2">
                  <c:v>3.5727402816435799E-2</c:v>
                </c:pt>
                <c:pt idx="3">
                  <c:v>7.9999199882813773E-2</c:v>
                </c:pt>
                <c:pt idx="4">
                  <c:v>0.103928920471382</c:v>
                </c:pt>
              </c:numCache>
            </c:numRef>
          </c:val>
        </c:ser>
        <c:gapWidth val="50"/>
        <c:axId val="52511104"/>
        <c:axId val="52512640"/>
      </c:barChart>
      <c:catAx>
        <c:axId val="52511104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/>
            </a:pPr>
            <a:endParaRPr lang="en-US"/>
          </a:p>
        </c:txPr>
        <c:crossAx val="52512640"/>
        <c:crosses val="autoZero"/>
        <c:auto val="1"/>
        <c:lblAlgn val="ctr"/>
        <c:lblOffset val="100"/>
      </c:catAx>
      <c:valAx>
        <c:axId val="52512640"/>
        <c:scaling>
          <c:orientation val="minMax"/>
          <c:max val="1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/>
            </a:pPr>
            <a:endParaRPr lang="en-US"/>
          </a:p>
        </c:txPr>
        <c:crossAx val="52511104"/>
        <c:crosses val="autoZero"/>
        <c:crossBetween val="between"/>
        <c:majorUnit val="0.25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9017380559388816"/>
          <c:y val="4.9344531933508504E-2"/>
          <c:w val="0.78462573621596265"/>
          <c:h val="0.80629606299212597"/>
        </c:manualLayout>
      </c:layout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Sheet1!$T$28:$X$28</c:f>
                <c:numCache>
                  <c:formatCode>General</c:formatCode>
                  <c:ptCount val="5"/>
                  <c:pt idx="0">
                    <c:v>1.1629470484024594E-2</c:v>
                  </c:pt>
                  <c:pt idx="1">
                    <c:v>1.3335571661820081E-2</c:v>
                  </c:pt>
                  <c:pt idx="2">
                    <c:v>6.8484841764300426E-3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Sheet1!$T$28:$X$28</c:f>
                <c:numCache>
                  <c:formatCode>General</c:formatCode>
                  <c:ptCount val="5"/>
                  <c:pt idx="0">
                    <c:v>1.1629470484024594E-2</c:v>
                  </c:pt>
                  <c:pt idx="1">
                    <c:v>1.3335571661820081E-2</c:v>
                  </c:pt>
                  <c:pt idx="2">
                    <c:v>6.8484841764300426E-3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Sheet1!$T$22:$X$22</c:f>
              <c:strCache>
                <c:ptCount val="5"/>
                <c:pt idx="0">
                  <c:v>mL2(36 hr AEH)</c:v>
                </c:pt>
                <c:pt idx="1">
                  <c:v>eL3(54 hr AEH)</c:v>
                </c:pt>
                <c:pt idx="2">
                  <c:v>eL3(70 hr AEH)</c:v>
                </c:pt>
                <c:pt idx="3">
                  <c:v>mL3(84 hr AEH)</c:v>
                </c:pt>
                <c:pt idx="4">
                  <c:v>lL3(96 hr AEH)</c:v>
                </c:pt>
              </c:strCache>
            </c:strRef>
          </c:cat>
          <c:val>
            <c:numRef>
              <c:f>Sheet1!$T$23:$X$23</c:f>
              <c:numCache>
                <c:formatCode>General</c:formatCode>
                <c:ptCount val="5"/>
                <c:pt idx="0">
                  <c:v>3.7999999999999999E-2</c:v>
                </c:pt>
                <c:pt idx="1">
                  <c:v>4.9700000000000001E-2</c:v>
                </c:pt>
                <c:pt idx="2">
                  <c:v>2.8000000000000001E-2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errBars>
            <c:errBarType val="both"/>
            <c:errValType val="cust"/>
            <c:plus>
              <c:numRef>
                <c:f>Sheet1!$T$29:$X$29</c:f>
                <c:numCache>
                  <c:formatCode>General</c:formatCode>
                  <c:ptCount val="5"/>
                  <c:pt idx="0">
                    <c:v>6.972994195811992E-2</c:v>
                  </c:pt>
                  <c:pt idx="1">
                    <c:v>3.5044300664682386E-2</c:v>
                  </c:pt>
                  <c:pt idx="2">
                    <c:v>5.7287846580943901E-2</c:v>
                  </c:pt>
                  <c:pt idx="3">
                    <c:v>4.0246107433036742E-2</c:v>
                  </c:pt>
                  <c:pt idx="4">
                    <c:v>3.8981065533356327E-2</c:v>
                  </c:pt>
                </c:numCache>
              </c:numRef>
            </c:plus>
            <c:minus>
              <c:numRef>
                <c:f>Sheet1!$T$29:$X$29</c:f>
                <c:numCache>
                  <c:formatCode>General</c:formatCode>
                  <c:ptCount val="5"/>
                  <c:pt idx="0">
                    <c:v>6.972994195811992E-2</c:v>
                  </c:pt>
                  <c:pt idx="1">
                    <c:v>3.5044300664682386E-2</c:v>
                  </c:pt>
                  <c:pt idx="2">
                    <c:v>5.7287846580943901E-2</c:v>
                  </c:pt>
                  <c:pt idx="3">
                    <c:v>4.0246107433036742E-2</c:v>
                  </c:pt>
                  <c:pt idx="4">
                    <c:v>3.8981065533356327E-2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Sheet1!$T$22:$X$22</c:f>
              <c:strCache>
                <c:ptCount val="5"/>
                <c:pt idx="0">
                  <c:v>mL2(36 hr AEH)</c:v>
                </c:pt>
                <c:pt idx="1">
                  <c:v>eL3(54 hr AEH)</c:v>
                </c:pt>
                <c:pt idx="2">
                  <c:v>eL3(70 hr AEH)</c:v>
                </c:pt>
                <c:pt idx="3">
                  <c:v>mL3(84 hr AEH)</c:v>
                </c:pt>
                <c:pt idx="4">
                  <c:v>lL3(96 hr AEH)</c:v>
                </c:pt>
              </c:strCache>
            </c:strRef>
          </c:cat>
          <c:val>
            <c:numRef>
              <c:f>Sheet1!$T$24:$X$24</c:f>
              <c:numCache>
                <c:formatCode>General</c:formatCode>
                <c:ptCount val="5"/>
                <c:pt idx="0">
                  <c:v>0.82899999999999996</c:v>
                </c:pt>
                <c:pt idx="1">
                  <c:v>0.79849999999999999</c:v>
                </c:pt>
                <c:pt idx="2">
                  <c:v>0.63500000000000001</c:v>
                </c:pt>
                <c:pt idx="3">
                  <c:v>0.50600000000000001</c:v>
                </c:pt>
                <c:pt idx="4">
                  <c:v>0.309</c:v>
                </c:pt>
              </c:numCache>
            </c:numRef>
          </c:val>
        </c:ser>
        <c:ser>
          <c:idx val="2"/>
          <c:order val="2"/>
          <c:errBars>
            <c:errBarType val="both"/>
            <c:errValType val="cust"/>
            <c:plus>
              <c:numRef>
                <c:f>Sheet1!$T$30:$X$30</c:f>
                <c:numCache>
                  <c:formatCode>General</c:formatCode>
                  <c:ptCount val="5"/>
                  <c:pt idx="0">
                    <c:v>1.3409987641282605E-2</c:v>
                  </c:pt>
                  <c:pt idx="1">
                    <c:v>1.6155658619307789E-2</c:v>
                  </c:pt>
                  <c:pt idx="2">
                    <c:v>1.5551085181570057E-2</c:v>
                  </c:pt>
                  <c:pt idx="3">
                    <c:v>2.3449974288034154E-2</c:v>
                  </c:pt>
                  <c:pt idx="4">
                    <c:v>1.9752006841851105E-2</c:v>
                  </c:pt>
                </c:numCache>
              </c:numRef>
            </c:plus>
            <c:minus>
              <c:numRef>
                <c:f>Sheet1!$T$30:$X$30</c:f>
                <c:numCache>
                  <c:formatCode>General</c:formatCode>
                  <c:ptCount val="5"/>
                  <c:pt idx="0">
                    <c:v>1.3409987641282605E-2</c:v>
                  </c:pt>
                  <c:pt idx="1">
                    <c:v>1.6155658619307789E-2</c:v>
                  </c:pt>
                  <c:pt idx="2">
                    <c:v>1.5551085181570057E-2</c:v>
                  </c:pt>
                  <c:pt idx="3">
                    <c:v>2.3449974288034154E-2</c:v>
                  </c:pt>
                  <c:pt idx="4">
                    <c:v>1.9752006841851105E-2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Sheet1!$T$22:$X$22</c:f>
              <c:strCache>
                <c:ptCount val="5"/>
                <c:pt idx="0">
                  <c:v>mL2(36 hr AEH)</c:v>
                </c:pt>
                <c:pt idx="1">
                  <c:v>eL3(54 hr AEH)</c:v>
                </c:pt>
                <c:pt idx="2">
                  <c:v>eL3(70 hr AEH)</c:v>
                </c:pt>
                <c:pt idx="3">
                  <c:v>mL3(84 hr AEH)</c:v>
                </c:pt>
                <c:pt idx="4">
                  <c:v>lL3(96 hr AEH)</c:v>
                </c:pt>
              </c:strCache>
            </c:strRef>
          </c:cat>
          <c:val>
            <c:numRef>
              <c:f>Sheet1!$T$25:$X$25</c:f>
              <c:numCache>
                <c:formatCode>General</c:formatCode>
                <c:ptCount val="5"/>
                <c:pt idx="0">
                  <c:v>4.4699999999999997E-2</c:v>
                </c:pt>
                <c:pt idx="1">
                  <c:v>6.2E-2</c:v>
                </c:pt>
                <c:pt idx="2">
                  <c:v>6.6000000000000003E-2</c:v>
                </c:pt>
                <c:pt idx="3">
                  <c:v>0.105</c:v>
                </c:pt>
                <c:pt idx="4">
                  <c:v>0.16700000000000001</c:v>
                </c:pt>
              </c:numCache>
            </c:numRef>
          </c:val>
        </c:ser>
        <c:gapWidth val="50"/>
        <c:axId val="63742720"/>
        <c:axId val="63744256"/>
      </c:barChart>
      <c:catAx>
        <c:axId val="6374272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/>
            </a:pPr>
            <a:endParaRPr lang="en-US"/>
          </a:p>
        </c:txPr>
        <c:crossAx val="63744256"/>
        <c:crosses val="autoZero"/>
        <c:auto val="1"/>
        <c:lblAlgn val="ctr"/>
        <c:lblOffset val="100"/>
      </c:catAx>
      <c:valAx>
        <c:axId val="63744256"/>
        <c:scaling>
          <c:orientation val="minMax"/>
          <c:max val="1"/>
        </c:scaling>
        <c:axPos val="l"/>
        <c:numFmt formatCode="General" sourceLinked="1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lang="en-IN"/>
            </a:pPr>
            <a:endParaRPr lang="en-US"/>
          </a:p>
        </c:txPr>
        <c:crossAx val="63742720"/>
        <c:crosses val="autoZero"/>
        <c:crossBetween val="between"/>
        <c:majorUnit val="0.25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0393285214348231"/>
          <c:y val="5.1400554097404488E-2"/>
          <c:w val="0.76551159230096233"/>
          <c:h val="0.79822506561679785"/>
        </c:manualLayout>
      </c:layout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Sheet1!$J$11:$K$11</c:f>
                <c:numCache>
                  <c:formatCode>General</c:formatCode>
                  <c:ptCount val="2"/>
                  <c:pt idx="0">
                    <c:v>3.401464970615292</c:v>
                  </c:pt>
                  <c:pt idx="1">
                    <c:v>4.9425241769367299</c:v>
                  </c:pt>
                </c:numCache>
              </c:numRef>
            </c:plus>
            <c:minus>
              <c:numRef>
                <c:f>Sheet1!$J$11:$K$11</c:f>
                <c:numCache>
                  <c:formatCode>General</c:formatCode>
                  <c:ptCount val="2"/>
                  <c:pt idx="0">
                    <c:v>3.401464970615292</c:v>
                  </c:pt>
                  <c:pt idx="1">
                    <c:v>4.9425241769367299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Sheet1!$J$5:$K$5</c:f>
              <c:strCache>
                <c:ptCount val="2"/>
                <c:pt idx="0">
                  <c:v>dome&gt;GFP/+</c:v>
                </c:pt>
                <c:pt idx="1">
                  <c:v>dome&gt;GFP; whd1/whd1</c:v>
                </c:pt>
              </c:strCache>
            </c:strRef>
          </c:cat>
          <c:val>
            <c:numRef>
              <c:f>Sheet1!$J$6:$K$6</c:f>
              <c:numCache>
                <c:formatCode>General</c:formatCode>
                <c:ptCount val="2"/>
                <c:pt idx="0">
                  <c:v>30.657316336704699</c:v>
                </c:pt>
                <c:pt idx="1">
                  <c:v>76.317077049568695</c:v>
                </c:pt>
              </c:numCache>
            </c:numRef>
          </c:val>
        </c:ser>
        <c:ser>
          <c:idx val="1"/>
          <c:order val="1"/>
          <c:errBars>
            <c:errBarType val="both"/>
            <c:errValType val="cust"/>
            <c:plus>
              <c:numRef>
                <c:f>Sheet1!$J$12:$K$12</c:f>
                <c:numCache>
                  <c:formatCode>General</c:formatCode>
                  <c:ptCount val="2"/>
                  <c:pt idx="0">
                    <c:v>2.2332050524004701</c:v>
                  </c:pt>
                  <c:pt idx="1">
                    <c:v>2.2550560235897499</c:v>
                  </c:pt>
                </c:numCache>
              </c:numRef>
            </c:plus>
            <c:minus>
              <c:numRef>
                <c:f>Sheet1!$J$12:$K$12</c:f>
                <c:numCache>
                  <c:formatCode>General</c:formatCode>
                  <c:ptCount val="2"/>
                  <c:pt idx="0">
                    <c:v>2.2332050524004701</c:v>
                  </c:pt>
                  <c:pt idx="1">
                    <c:v>2.2550560235897499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Sheet1!$J$5:$K$5</c:f>
              <c:strCache>
                <c:ptCount val="2"/>
                <c:pt idx="0">
                  <c:v>dome&gt;GFP/+</c:v>
                </c:pt>
                <c:pt idx="1">
                  <c:v>dome&gt;GFP; whd1/whd1</c:v>
                </c:pt>
              </c:strCache>
            </c:strRef>
          </c:cat>
          <c:val>
            <c:numRef>
              <c:f>Sheet1!$J$7:$K$7</c:f>
              <c:numCache>
                <c:formatCode>General</c:formatCode>
                <c:ptCount val="2"/>
                <c:pt idx="0">
                  <c:v>17.792963001796402</c:v>
                </c:pt>
                <c:pt idx="1">
                  <c:v>10.6858166188164</c:v>
                </c:pt>
              </c:numCache>
            </c:numRef>
          </c:val>
        </c:ser>
        <c:axId val="64908288"/>
        <c:axId val="63755008"/>
      </c:barChart>
      <c:catAx>
        <c:axId val="64908288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63755008"/>
        <c:crosses val="autoZero"/>
        <c:auto val="1"/>
        <c:lblAlgn val="ctr"/>
        <c:lblOffset val="100"/>
      </c:catAx>
      <c:valAx>
        <c:axId val="63755008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64908288"/>
        <c:crosses val="autoZero"/>
        <c:crossBetween val="between"/>
        <c:majorUnit val="20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9190507436570428"/>
          <c:y val="5.1400554097404488E-2"/>
          <c:w val="0.77753937007874063"/>
          <c:h val="0.7417206182560519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5A5434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Sheet1!$C$66:$G$66</c:f>
                <c:numCache>
                  <c:formatCode>General</c:formatCode>
                  <c:ptCount val="5"/>
                  <c:pt idx="0">
                    <c:v>7.3201472359205308E-2</c:v>
                  </c:pt>
                  <c:pt idx="1">
                    <c:v>3.9789585460407929E-2</c:v>
                  </c:pt>
                  <c:pt idx="2">
                    <c:v>4.5796651988254923E-2</c:v>
                  </c:pt>
                  <c:pt idx="3">
                    <c:v>5.1383525245614049E-2</c:v>
                  </c:pt>
                  <c:pt idx="4">
                    <c:v>2.2142217092644072E-2</c:v>
                  </c:pt>
                </c:numCache>
              </c:numRef>
            </c:plus>
            <c:minus>
              <c:numRef>
                <c:f>Sheet1!$C$66:$G$66</c:f>
                <c:numCache>
                  <c:formatCode>General</c:formatCode>
                  <c:ptCount val="5"/>
                  <c:pt idx="0">
                    <c:v>7.3201472359205308E-2</c:v>
                  </c:pt>
                  <c:pt idx="1">
                    <c:v>3.9789585460407929E-2</c:v>
                  </c:pt>
                  <c:pt idx="2">
                    <c:v>4.5796651988254923E-2</c:v>
                  </c:pt>
                  <c:pt idx="3">
                    <c:v>5.1383525245614049E-2</c:v>
                  </c:pt>
                  <c:pt idx="4">
                    <c:v>2.2142217092644072E-2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Sheet1!$H$57:$L$57</c:f>
              <c:strCache>
                <c:ptCount val="5"/>
                <c:pt idx="0">
                  <c:v>OreR</c:v>
                </c:pt>
                <c:pt idx="1">
                  <c:v>Hnf4Δ17/ Hnf4Δ33</c:v>
                </c:pt>
                <c:pt idx="2">
                  <c:v>MtpαKO</c:v>
                </c:pt>
                <c:pt idx="3">
                  <c:v>MtpβKO</c:v>
                </c:pt>
                <c:pt idx="4">
                  <c:v>whd1/whd1</c:v>
                </c:pt>
              </c:strCache>
            </c:strRef>
          </c:cat>
          <c:val>
            <c:numRef>
              <c:f>Sheet1!$H$58:$L$58</c:f>
              <c:numCache>
                <c:formatCode>General</c:formatCode>
                <c:ptCount val="5"/>
                <c:pt idx="0">
                  <c:v>0.57269999999999999</c:v>
                </c:pt>
                <c:pt idx="1">
                  <c:v>0.19290000000000002</c:v>
                </c:pt>
                <c:pt idx="2">
                  <c:v>0.21099999999999999</c:v>
                </c:pt>
                <c:pt idx="3">
                  <c:v>0.20760000000000001</c:v>
                </c:pt>
                <c:pt idx="4">
                  <c:v>9.1499999999999998E-2</c:v>
                </c:pt>
              </c:numCache>
            </c:numRef>
          </c:val>
        </c:ser>
        <c:gapWidth val="100"/>
        <c:axId val="51929088"/>
        <c:axId val="51930624"/>
      </c:barChart>
      <c:catAx>
        <c:axId val="51929088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51930624"/>
        <c:crosses val="autoZero"/>
        <c:auto val="1"/>
        <c:lblAlgn val="ctr"/>
        <c:lblOffset val="100"/>
      </c:catAx>
      <c:valAx>
        <c:axId val="51930624"/>
        <c:scaling>
          <c:orientation val="minMax"/>
        </c:scaling>
        <c:axPos val="l"/>
        <c:numFmt formatCode="General" sourceLinked="1"/>
        <c:tickLblPos val="nextTo"/>
        <c:spPr>
          <a:noFill/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51929088"/>
        <c:crosses val="autoZero"/>
        <c:crossBetween val="between"/>
        <c:majorUnit val="0.2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1134951881014874"/>
          <c:y val="5.1400554097404488E-2"/>
          <c:w val="0.75809492563429615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554F31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Sheet1!$C$83:$E$83</c:f>
                <c:numCache>
                  <c:formatCode>General</c:formatCode>
                  <c:ptCount val="3"/>
                  <c:pt idx="0">
                    <c:v>3.1914643103821964E-2</c:v>
                  </c:pt>
                  <c:pt idx="1">
                    <c:v>3.0211292958465138E-2</c:v>
                  </c:pt>
                  <c:pt idx="2">
                    <c:v>3.1059262350831326E-2</c:v>
                  </c:pt>
                </c:numCache>
              </c:numRef>
            </c:plus>
            <c:minus>
              <c:numRef>
                <c:f>Sheet1!$C$83:$E$83</c:f>
                <c:numCache>
                  <c:formatCode>General</c:formatCode>
                  <c:ptCount val="3"/>
                  <c:pt idx="0">
                    <c:v>3.1914643103821964E-2</c:v>
                  </c:pt>
                  <c:pt idx="1">
                    <c:v>3.0211292958465138E-2</c:v>
                  </c:pt>
                  <c:pt idx="2">
                    <c:v>3.1059262350831326E-2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Sheet1!$G$75:$G$77</c:f>
              <c:strCache>
                <c:ptCount val="3"/>
                <c:pt idx="0">
                  <c:v>dome/+</c:v>
                </c:pt>
                <c:pt idx="1">
                  <c:v>dome/+ +Etomoxir</c:v>
                </c:pt>
                <c:pt idx="2">
                  <c:v>dome/+ +Mildronate</c:v>
                </c:pt>
              </c:strCache>
            </c:strRef>
          </c:cat>
          <c:val>
            <c:numRef>
              <c:f>Sheet1!$H$75:$H$77</c:f>
              <c:numCache>
                <c:formatCode>General</c:formatCode>
                <c:ptCount val="3"/>
                <c:pt idx="0">
                  <c:v>0.48710000000000003</c:v>
                </c:pt>
                <c:pt idx="1">
                  <c:v>0.20250000000000004</c:v>
                </c:pt>
                <c:pt idx="2">
                  <c:v>0.20830000000000001</c:v>
                </c:pt>
              </c:numCache>
            </c:numRef>
          </c:val>
        </c:ser>
        <c:gapWidth val="100"/>
        <c:axId val="66176128"/>
        <c:axId val="66177664"/>
      </c:barChart>
      <c:catAx>
        <c:axId val="66176128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6177664"/>
        <c:crosses val="autoZero"/>
        <c:auto val="1"/>
        <c:lblAlgn val="ctr"/>
        <c:lblOffset val="100"/>
      </c:catAx>
      <c:valAx>
        <c:axId val="66177664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6176128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30579396325459346"/>
          <c:y val="5.1400554097404488E-2"/>
          <c:w val="0.66365048118985193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554F31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Sheet1!$C$100:$D$100</c:f>
                <c:numCache>
                  <c:formatCode>General</c:formatCode>
                  <c:ptCount val="2"/>
                  <c:pt idx="0">
                    <c:v>5.6639601379638936E-2</c:v>
                  </c:pt>
                  <c:pt idx="1">
                    <c:v>3.4531949779234003E-2</c:v>
                  </c:pt>
                </c:numCache>
              </c:numRef>
            </c:plus>
            <c:minus>
              <c:numRef>
                <c:f>Sheet1!$C$100:$D$100</c:f>
                <c:numCache>
                  <c:formatCode>General</c:formatCode>
                  <c:ptCount val="2"/>
                  <c:pt idx="0">
                    <c:v>5.6639601379638936E-2</c:v>
                  </c:pt>
                  <c:pt idx="1">
                    <c:v>3.4531949779234003E-2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Sheet1!$F$91:$F$92</c:f>
              <c:strCache>
                <c:ptCount val="2"/>
                <c:pt idx="0">
                  <c:v>TepIV-Gal4</c:v>
                </c:pt>
                <c:pt idx="1">
                  <c:v>TepIV &gt; whd.i</c:v>
                </c:pt>
              </c:strCache>
            </c:strRef>
          </c:cat>
          <c:val>
            <c:numRef>
              <c:f>Sheet1!$G$91:$G$92</c:f>
              <c:numCache>
                <c:formatCode>General</c:formatCode>
                <c:ptCount val="2"/>
                <c:pt idx="0">
                  <c:v>0.51960000000000006</c:v>
                </c:pt>
                <c:pt idx="1">
                  <c:v>0.19530000000000003</c:v>
                </c:pt>
              </c:numCache>
            </c:numRef>
          </c:val>
        </c:ser>
        <c:gapWidth val="100"/>
        <c:axId val="66500480"/>
        <c:axId val="66502016"/>
      </c:barChart>
      <c:catAx>
        <c:axId val="6650048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6502016"/>
        <c:crosses val="autoZero"/>
        <c:auto val="1"/>
        <c:lblAlgn val="ctr"/>
        <c:lblOffset val="100"/>
      </c:catAx>
      <c:valAx>
        <c:axId val="66502016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6500480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390525</xdr:colOff>
      <xdr:row>33</xdr:row>
      <xdr:rowOff>180975</xdr:rowOff>
    </xdr:from>
    <xdr:to>
      <xdr:col>33</xdr:col>
      <xdr:colOff>514350</xdr:colOff>
      <xdr:row>49</xdr:row>
      <xdr:rowOff>85725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381000</xdr:colOff>
      <xdr:row>44</xdr:row>
      <xdr:rowOff>38101</xdr:rowOff>
    </xdr:from>
    <xdr:to>
      <xdr:col>29</xdr:col>
      <xdr:colOff>171450</xdr:colOff>
      <xdr:row>45</xdr:row>
      <xdr:rowOff>85727</xdr:rowOff>
    </xdr:to>
    <xdr:sp macro="" textlink="">
      <xdr:nvSpPr>
        <xdr:cNvPr id="35" name="TextBox 34"/>
        <xdr:cNvSpPr txBox="1"/>
      </xdr:nvSpPr>
      <xdr:spPr>
        <a:xfrm>
          <a:off x="18783300" y="8534401"/>
          <a:ext cx="400050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30</xdr:col>
      <xdr:colOff>161925</xdr:colOff>
      <xdr:row>34</xdr:row>
      <xdr:rowOff>28575</xdr:rowOff>
    </xdr:from>
    <xdr:to>
      <xdr:col>31</xdr:col>
      <xdr:colOff>333375</xdr:colOff>
      <xdr:row>35</xdr:row>
      <xdr:rowOff>47625</xdr:rowOff>
    </xdr:to>
    <xdr:sp macro="" textlink="">
      <xdr:nvSpPr>
        <xdr:cNvPr id="26" name="TextBox 25"/>
        <xdr:cNvSpPr txBox="1"/>
      </xdr:nvSpPr>
      <xdr:spPr>
        <a:xfrm>
          <a:off x="19783425" y="6591300"/>
          <a:ext cx="7810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000" b="1"/>
            <a:t>Progenitor</a:t>
          </a:r>
        </a:p>
      </xdr:txBody>
    </xdr:sp>
    <xdr:clientData/>
  </xdr:twoCellAnchor>
  <xdr:twoCellAnchor>
    <xdr:from>
      <xdr:col>24</xdr:col>
      <xdr:colOff>428625</xdr:colOff>
      <xdr:row>17</xdr:row>
      <xdr:rowOff>19050</xdr:rowOff>
    </xdr:from>
    <xdr:to>
      <xdr:col>33</xdr:col>
      <xdr:colOff>485775</xdr:colOff>
      <xdr:row>32</xdr:row>
      <xdr:rowOff>19050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352425</xdr:colOff>
      <xdr:row>0</xdr:row>
      <xdr:rowOff>133350</xdr:rowOff>
    </xdr:from>
    <xdr:to>
      <xdr:col>18</xdr:col>
      <xdr:colOff>514350</xdr:colOff>
      <xdr:row>15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352425</xdr:colOff>
      <xdr:row>1</xdr:row>
      <xdr:rowOff>38100</xdr:rowOff>
    </xdr:from>
    <xdr:to>
      <xdr:col>14</xdr:col>
      <xdr:colOff>523875</xdr:colOff>
      <xdr:row>1</xdr:row>
      <xdr:rowOff>171450</xdr:rowOff>
    </xdr:to>
    <xdr:sp macro="" textlink="">
      <xdr:nvSpPr>
        <xdr:cNvPr id="5" name="Rectangle 4"/>
        <xdr:cNvSpPr/>
      </xdr:nvSpPr>
      <xdr:spPr>
        <a:xfrm>
          <a:off x="9839325" y="228600"/>
          <a:ext cx="171450" cy="133350"/>
        </a:xfrm>
        <a:prstGeom prst="rect">
          <a:avLst/>
        </a:prstGeom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14</xdr:col>
      <xdr:colOff>361950</xdr:colOff>
      <xdr:row>1</xdr:row>
      <xdr:rowOff>219074</xdr:rowOff>
    </xdr:from>
    <xdr:to>
      <xdr:col>14</xdr:col>
      <xdr:colOff>523875</xdr:colOff>
      <xdr:row>2</xdr:row>
      <xdr:rowOff>133350</xdr:rowOff>
    </xdr:to>
    <xdr:sp macro="" textlink="">
      <xdr:nvSpPr>
        <xdr:cNvPr id="6" name="Rectangle 5"/>
        <xdr:cNvSpPr/>
      </xdr:nvSpPr>
      <xdr:spPr>
        <a:xfrm>
          <a:off x="9848850" y="409574"/>
          <a:ext cx="161925" cy="133351"/>
        </a:xfrm>
        <a:prstGeom prst="rect">
          <a:avLst/>
        </a:prstGeom>
        <a:solidFill>
          <a:srgbClr val="D13D2D"/>
        </a:solidFill>
        <a:ln w="12700">
          <a:solidFill>
            <a:srgbClr val="D13D2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14</xdr:col>
      <xdr:colOff>552450</xdr:colOff>
      <xdr:row>1</xdr:row>
      <xdr:rowOff>0</xdr:rowOff>
    </xdr:from>
    <xdr:to>
      <xdr:col>15</xdr:col>
      <xdr:colOff>723900</xdr:colOff>
      <xdr:row>1</xdr:row>
      <xdr:rowOff>209550</xdr:rowOff>
    </xdr:to>
    <xdr:sp macro="" textlink="">
      <xdr:nvSpPr>
        <xdr:cNvPr id="7" name="TextBox 6"/>
        <xdr:cNvSpPr txBox="1"/>
      </xdr:nvSpPr>
      <xdr:spPr>
        <a:xfrm>
          <a:off x="10039350" y="190500"/>
          <a:ext cx="7810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000" b="1"/>
            <a:t>Progenitor</a:t>
          </a:r>
        </a:p>
      </xdr:txBody>
    </xdr:sp>
    <xdr:clientData/>
  </xdr:twoCellAnchor>
  <xdr:twoCellAnchor>
    <xdr:from>
      <xdr:col>14</xdr:col>
      <xdr:colOff>495299</xdr:colOff>
      <xdr:row>1</xdr:row>
      <xdr:rowOff>161925</xdr:rowOff>
    </xdr:from>
    <xdr:to>
      <xdr:col>16</xdr:col>
      <xdr:colOff>657225</xdr:colOff>
      <xdr:row>2</xdr:row>
      <xdr:rowOff>171450</xdr:rowOff>
    </xdr:to>
    <xdr:sp macro="" textlink="">
      <xdr:nvSpPr>
        <xdr:cNvPr id="8" name="TextBox 7"/>
        <xdr:cNvSpPr txBox="1"/>
      </xdr:nvSpPr>
      <xdr:spPr>
        <a:xfrm>
          <a:off x="9982199" y="352425"/>
          <a:ext cx="157162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000" b="1"/>
            <a:t>Intermediate</a:t>
          </a:r>
          <a:r>
            <a:rPr lang="en-IN" sz="1000" b="1" baseline="0"/>
            <a:t> Progenitor</a:t>
          </a:r>
          <a:endParaRPr lang="en-IN" sz="1000" b="1"/>
        </a:p>
      </xdr:txBody>
    </xdr:sp>
    <xdr:clientData/>
  </xdr:twoCellAnchor>
  <xdr:twoCellAnchor>
    <xdr:from>
      <xdr:col>16</xdr:col>
      <xdr:colOff>447675</xdr:colOff>
      <xdr:row>2</xdr:row>
      <xdr:rowOff>104774</xdr:rowOff>
    </xdr:from>
    <xdr:to>
      <xdr:col>17</xdr:col>
      <xdr:colOff>104775</xdr:colOff>
      <xdr:row>3</xdr:row>
      <xdr:rowOff>66675</xdr:rowOff>
    </xdr:to>
    <xdr:sp macro="" textlink="">
      <xdr:nvSpPr>
        <xdr:cNvPr id="13" name="TextBox 12"/>
        <xdr:cNvSpPr txBox="1"/>
      </xdr:nvSpPr>
      <xdr:spPr>
        <a:xfrm>
          <a:off x="11344275" y="514349"/>
          <a:ext cx="457200" cy="152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12</xdr:col>
      <xdr:colOff>404813</xdr:colOff>
      <xdr:row>0</xdr:row>
      <xdr:rowOff>176213</xdr:rowOff>
    </xdr:from>
    <xdr:to>
      <xdr:col>13</xdr:col>
      <xdr:colOff>33338</xdr:colOff>
      <xdr:row>15</xdr:row>
      <xdr:rowOff>90488</xdr:rowOff>
    </xdr:to>
    <xdr:sp macro="" textlink="">
      <xdr:nvSpPr>
        <xdr:cNvPr id="14" name="TextBox 13"/>
        <xdr:cNvSpPr txBox="1"/>
      </xdr:nvSpPr>
      <xdr:spPr>
        <a:xfrm rot="16200000">
          <a:off x="7077076" y="1390650"/>
          <a:ext cx="285750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Percentage of progenitor  sub-</a:t>
          </a:r>
        </a:p>
        <a:p>
          <a:pPr algn="ctr"/>
          <a:r>
            <a:rPr lang="en-IN" sz="1100" b="1"/>
            <a:t>populations</a:t>
          </a:r>
          <a:r>
            <a:rPr lang="en-IN" sz="1100" b="1" baseline="0"/>
            <a:t> </a:t>
          </a:r>
          <a:r>
            <a:rPr lang="en-IN" sz="1100" b="1"/>
            <a:t>in primary lobe of lymph gland </a:t>
          </a:r>
        </a:p>
      </xdr:txBody>
    </xdr:sp>
    <xdr:clientData/>
  </xdr:twoCellAnchor>
  <xdr:twoCellAnchor>
    <xdr:from>
      <xdr:col>24</xdr:col>
      <xdr:colOff>490539</xdr:colOff>
      <xdr:row>17</xdr:row>
      <xdr:rowOff>14289</xdr:rowOff>
    </xdr:from>
    <xdr:to>
      <xdr:col>25</xdr:col>
      <xdr:colOff>309564</xdr:colOff>
      <xdr:row>32</xdr:row>
      <xdr:rowOff>14289</xdr:rowOff>
    </xdr:to>
    <xdr:sp macro="" textlink="">
      <xdr:nvSpPr>
        <xdr:cNvPr id="15" name="TextBox 14"/>
        <xdr:cNvSpPr txBox="1"/>
      </xdr:nvSpPr>
      <xdr:spPr>
        <a:xfrm rot="16200000">
          <a:off x="15240002" y="4552951"/>
          <a:ext cx="285750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Percentage of progenitor  sub-populations</a:t>
          </a:r>
          <a:r>
            <a:rPr lang="en-IN" sz="1100" b="1" baseline="0"/>
            <a:t>  </a:t>
          </a:r>
        </a:p>
        <a:p>
          <a:pPr algn="ctr"/>
          <a:r>
            <a:rPr lang="en-IN" sz="1100" b="1"/>
            <a:t>in control primary lobe of lymph gland </a:t>
          </a:r>
        </a:p>
      </xdr:txBody>
    </xdr:sp>
    <xdr:clientData/>
  </xdr:twoCellAnchor>
  <xdr:twoCellAnchor>
    <xdr:from>
      <xdr:col>30</xdr:col>
      <xdr:colOff>409575</xdr:colOff>
      <xdr:row>17</xdr:row>
      <xdr:rowOff>152400</xdr:rowOff>
    </xdr:from>
    <xdr:to>
      <xdr:col>30</xdr:col>
      <xdr:colOff>581025</xdr:colOff>
      <xdr:row>18</xdr:row>
      <xdr:rowOff>95250</xdr:rowOff>
    </xdr:to>
    <xdr:sp macro="" textlink="">
      <xdr:nvSpPr>
        <xdr:cNvPr id="16" name="Rectangle 15"/>
        <xdr:cNvSpPr/>
      </xdr:nvSpPr>
      <xdr:spPr>
        <a:xfrm>
          <a:off x="20031075" y="3476625"/>
          <a:ext cx="171450" cy="133350"/>
        </a:xfrm>
        <a:prstGeom prst="rect">
          <a:avLst/>
        </a:prstGeom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30</xdr:col>
      <xdr:colOff>590550</xdr:colOff>
      <xdr:row>18</xdr:row>
      <xdr:rowOff>85725</xdr:rowOff>
    </xdr:from>
    <xdr:to>
      <xdr:col>32</xdr:col>
      <xdr:colOff>152400</xdr:colOff>
      <xdr:row>19</xdr:row>
      <xdr:rowOff>104775</xdr:rowOff>
    </xdr:to>
    <xdr:sp macro="" textlink="">
      <xdr:nvSpPr>
        <xdr:cNvPr id="17" name="TextBox 16"/>
        <xdr:cNvSpPr txBox="1"/>
      </xdr:nvSpPr>
      <xdr:spPr>
        <a:xfrm>
          <a:off x="20212050" y="3600450"/>
          <a:ext cx="7810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000" b="1"/>
            <a:t>Progenitor</a:t>
          </a:r>
        </a:p>
      </xdr:txBody>
    </xdr:sp>
    <xdr:clientData/>
  </xdr:twoCellAnchor>
  <xdr:twoCellAnchor>
    <xdr:from>
      <xdr:col>30</xdr:col>
      <xdr:colOff>409575</xdr:colOff>
      <xdr:row>18</xdr:row>
      <xdr:rowOff>152399</xdr:rowOff>
    </xdr:from>
    <xdr:to>
      <xdr:col>30</xdr:col>
      <xdr:colOff>571500</xdr:colOff>
      <xdr:row>19</xdr:row>
      <xdr:rowOff>95250</xdr:rowOff>
    </xdr:to>
    <xdr:sp macro="" textlink="">
      <xdr:nvSpPr>
        <xdr:cNvPr id="18" name="Rectangle 17"/>
        <xdr:cNvSpPr/>
      </xdr:nvSpPr>
      <xdr:spPr>
        <a:xfrm>
          <a:off x="20031075" y="3667124"/>
          <a:ext cx="161925" cy="133351"/>
        </a:xfrm>
        <a:prstGeom prst="rect">
          <a:avLst/>
        </a:prstGeom>
        <a:solidFill>
          <a:srgbClr val="D13D2D"/>
        </a:solidFill>
        <a:ln w="12700">
          <a:solidFill>
            <a:srgbClr val="D13D2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30</xdr:col>
      <xdr:colOff>590549</xdr:colOff>
      <xdr:row>19</xdr:row>
      <xdr:rowOff>85725</xdr:rowOff>
    </xdr:from>
    <xdr:to>
      <xdr:col>33</xdr:col>
      <xdr:colOff>333375</xdr:colOff>
      <xdr:row>20</xdr:row>
      <xdr:rowOff>123825</xdr:rowOff>
    </xdr:to>
    <xdr:sp macro="" textlink="">
      <xdr:nvSpPr>
        <xdr:cNvPr id="19" name="TextBox 18"/>
        <xdr:cNvSpPr txBox="1"/>
      </xdr:nvSpPr>
      <xdr:spPr>
        <a:xfrm>
          <a:off x="20212049" y="3790950"/>
          <a:ext cx="157162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000" b="1"/>
            <a:t>Intermediate</a:t>
          </a:r>
          <a:r>
            <a:rPr lang="en-IN" sz="1000" b="1" baseline="0"/>
            <a:t> Progenitor</a:t>
          </a:r>
          <a:endParaRPr lang="en-IN" sz="1000" b="1"/>
        </a:p>
      </xdr:txBody>
    </xdr:sp>
    <xdr:clientData/>
  </xdr:twoCellAnchor>
  <xdr:twoCellAnchor>
    <xdr:from>
      <xdr:col>30</xdr:col>
      <xdr:colOff>409575</xdr:colOff>
      <xdr:row>19</xdr:row>
      <xdr:rowOff>152399</xdr:rowOff>
    </xdr:from>
    <xdr:to>
      <xdr:col>30</xdr:col>
      <xdr:colOff>571500</xdr:colOff>
      <xdr:row>20</xdr:row>
      <xdr:rowOff>95250</xdr:rowOff>
    </xdr:to>
    <xdr:sp macro="" textlink="">
      <xdr:nvSpPr>
        <xdr:cNvPr id="20" name="Rectangle 19"/>
        <xdr:cNvSpPr/>
      </xdr:nvSpPr>
      <xdr:spPr>
        <a:xfrm>
          <a:off x="20031075" y="3857624"/>
          <a:ext cx="161925" cy="133351"/>
        </a:xfrm>
        <a:prstGeom prst="rect">
          <a:avLst/>
        </a:prstGeom>
        <a:solidFill>
          <a:srgbClr val="92D050"/>
        </a:solidFill>
        <a:ln w="127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30</xdr:col>
      <xdr:colOff>590549</xdr:colOff>
      <xdr:row>17</xdr:row>
      <xdr:rowOff>95250</xdr:rowOff>
    </xdr:from>
    <xdr:to>
      <xdr:col>32</xdr:col>
      <xdr:colOff>352424</xdr:colOff>
      <xdr:row>18</xdr:row>
      <xdr:rowOff>95250</xdr:rowOff>
    </xdr:to>
    <xdr:sp macro="" textlink="">
      <xdr:nvSpPr>
        <xdr:cNvPr id="21" name="TextBox 20"/>
        <xdr:cNvSpPr txBox="1"/>
      </xdr:nvSpPr>
      <xdr:spPr>
        <a:xfrm>
          <a:off x="20212049" y="3419475"/>
          <a:ext cx="9810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000" b="1"/>
            <a:t>Pre-Progenitor</a:t>
          </a:r>
        </a:p>
      </xdr:txBody>
    </xdr:sp>
    <xdr:clientData/>
  </xdr:twoCellAnchor>
  <xdr:twoCellAnchor>
    <xdr:from>
      <xdr:col>28</xdr:col>
      <xdr:colOff>85725</xdr:colOff>
      <xdr:row>34</xdr:row>
      <xdr:rowOff>95250</xdr:rowOff>
    </xdr:from>
    <xdr:to>
      <xdr:col>28</xdr:col>
      <xdr:colOff>257175</xdr:colOff>
      <xdr:row>35</xdr:row>
      <xdr:rowOff>38100</xdr:rowOff>
    </xdr:to>
    <xdr:sp macro="" textlink="">
      <xdr:nvSpPr>
        <xdr:cNvPr id="22" name="Rectangle 21"/>
        <xdr:cNvSpPr/>
      </xdr:nvSpPr>
      <xdr:spPr>
        <a:xfrm>
          <a:off x="18488025" y="6657975"/>
          <a:ext cx="171450" cy="161925"/>
        </a:xfrm>
        <a:prstGeom prst="rect">
          <a:avLst/>
        </a:prstGeom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28</xdr:col>
      <xdr:colOff>276224</xdr:colOff>
      <xdr:row>34</xdr:row>
      <xdr:rowOff>57150</xdr:rowOff>
    </xdr:from>
    <xdr:to>
      <xdr:col>30</xdr:col>
      <xdr:colOff>38099</xdr:colOff>
      <xdr:row>35</xdr:row>
      <xdr:rowOff>57150</xdr:rowOff>
    </xdr:to>
    <xdr:sp macro="" textlink="">
      <xdr:nvSpPr>
        <xdr:cNvPr id="23" name="TextBox 22"/>
        <xdr:cNvSpPr txBox="1"/>
      </xdr:nvSpPr>
      <xdr:spPr>
        <a:xfrm>
          <a:off x="18678524" y="6619875"/>
          <a:ext cx="9810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000" b="1"/>
            <a:t>Pre-Progenitor</a:t>
          </a:r>
        </a:p>
      </xdr:txBody>
    </xdr:sp>
    <xdr:clientData/>
  </xdr:twoCellAnchor>
  <xdr:twoCellAnchor>
    <xdr:from>
      <xdr:col>30</xdr:col>
      <xdr:colOff>28575</xdr:colOff>
      <xdr:row>34</xdr:row>
      <xdr:rowOff>85724</xdr:rowOff>
    </xdr:from>
    <xdr:to>
      <xdr:col>30</xdr:col>
      <xdr:colOff>190500</xdr:colOff>
      <xdr:row>35</xdr:row>
      <xdr:rowOff>28575</xdr:rowOff>
    </xdr:to>
    <xdr:sp macro="" textlink="">
      <xdr:nvSpPr>
        <xdr:cNvPr id="27" name="Rectangle 26"/>
        <xdr:cNvSpPr/>
      </xdr:nvSpPr>
      <xdr:spPr>
        <a:xfrm>
          <a:off x="19650075" y="6648449"/>
          <a:ext cx="161925" cy="133351"/>
        </a:xfrm>
        <a:prstGeom prst="rect">
          <a:avLst/>
        </a:prstGeom>
        <a:solidFill>
          <a:srgbClr val="D13D2D"/>
        </a:solidFill>
        <a:ln w="12700">
          <a:solidFill>
            <a:srgbClr val="D13D2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31</xdr:col>
      <xdr:colOff>352424</xdr:colOff>
      <xdr:row>34</xdr:row>
      <xdr:rowOff>38100</xdr:rowOff>
    </xdr:from>
    <xdr:to>
      <xdr:col>34</xdr:col>
      <xdr:colOff>95250</xdr:colOff>
      <xdr:row>35</xdr:row>
      <xdr:rowOff>76200</xdr:rowOff>
    </xdr:to>
    <xdr:sp macro="" textlink="">
      <xdr:nvSpPr>
        <xdr:cNvPr id="28" name="TextBox 27"/>
        <xdr:cNvSpPr txBox="1"/>
      </xdr:nvSpPr>
      <xdr:spPr>
        <a:xfrm>
          <a:off x="20583524" y="6600825"/>
          <a:ext cx="157162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000" b="1"/>
            <a:t>Intermediate</a:t>
          </a:r>
          <a:r>
            <a:rPr lang="en-IN" sz="1000" b="1" baseline="0"/>
            <a:t> Progenitor</a:t>
          </a:r>
          <a:endParaRPr lang="en-IN" sz="1000" b="1"/>
        </a:p>
      </xdr:txBody>
    </xdr:sp>
    <xdr:clientData/>
  </xdr:twoCellAnchor>
  <xdr:twoCellAnchor>
    <xdr:from>
      <xdr:col>31</xdr:col>
      <xdr:colOff>247650</xdr:colOff>
      <xdr:row>34</xdr:row>
      <xdr:rowOff>95249</xdr:rowOff>
    </xdr:from>
    <xdr:to>
      <xdr:col>31</xdr:col>
      <xdr:colOff>409575</xdr:colOff>
      <xdr:row>35</xdr:row>
      <xdr:rowOff>38100</xdr:rowOff>
    </xdr:to>
    <xdr:sp macro="" textlink="">
      <xdr:nvSpPr>
        <xdr:cNvPr id="29" name="Rectangle 28"/>
        <xdr:cNvSpPr/>
      </xdr:nvSpPr>
      <xdr:spPr>
        <a:xfrm>
          <a:off x="20478750" y="6657974"/>
          <a:ext cx="161925" cy="133351"/>
        </a:xfrm>
        <a:prstGeom prst="rect">
          <a:avLst/>
        </a:prstGeom>
        <a:solidFill>
          <a:srgbClr val="92D050"/>
        </a:solidFill>
        <a:ln w="127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24</xdr:col>
      <xdr:colOff>481015</xdr:colOff>
      <xdr:row>33</xdr:row>
      <xdr:rowOff>185739</xdr:rowOff>
    </xdr:from>
    <xdr:to>
      <xdr:col>25</xdr:col>
      <xdr:colOff>300040</xdr:colOff>
      <xdr:row>48</xdr:row>
      <xdr:rowOff>157164</xdr:rowOff>
    </xdr:to>
    <xdr:sp macro="" textlink="">
      <xdr:nvSpPr>
        <xdr:cNvPr id="32" name="TextBox 31"/>
        <xdr:cNvSpPr txBox="1"/>
      </xdr:nvSpPr>
      <xdr:spPr>
        <a:xfrm rot="16200000">
          <a:off x="15230478" y="7772401"/>
          <a:ext cx="285750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Percentage of progenitor  sub-populations</a:t>
          </a:r>
          <a:r>
            <a:rPr lang="en-IN" sz="1100" b="1" baseline="0"/>
            <a:t>  </a:t>
          </a:r>
        </a:p>
        <a:p>
          <a:pPr algn="ctr"/>
          <a:r>
            <a:rPr lang="en-IN" sz="1100" b="1"/>
            <a:t>in whd1/whd1 primary lobe of lymph gland </a:t>
          </a:r>
        </a:p>
      </xdr:txBody>
    </xdr:sp>
    <xdr:clientData/>
  </xdr:twoCellAnchor>
  <xdr:twoCellAnchor>
    <xdr:from>
      <xdr:col>27</xdr:col>
      <xdr:colOff>533400</xdr:colOff>
      <xdr:row>44</xdr:row>
      <xdr:rowOff>95250</xdr:rowOff>
    </xdr:from>
    <xdr:to>
      <xdr:col>28</xdr:col>
      <xdr:colOff>133351</xdr:colOff>
      <xdr:row>45</xdr:row>
      <xdr:rowOff>76200</xdr:rowOff>
    </xdr:to>
    <xdr:sp macro="" textlink="">
      <xdr:nvSpPr>
        <xdr:cNvPr id="33" name="TextBox 32"/>
        <xdr:cNvSpPr txBox="1"/>
      </xdr:nvSpPr>
      <xdr:spPr>
        <a:xfrm>
          <a:off x="18326100" y="8591550"/>
          <a:ext cx="209551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</a:t>
          </a:r>
        </a:p>
      </xdr:txBody>
    </xdr:sp>
    <xdr:clientData/>
  </xdr:twoCellAnchor>
  <xdr:twoCellAnchor>
    <xdr:from>
      <xdr:col>28</xdr:col>
      <xdr:colOff>123825</xdr:colOff>
      <xdr:row>35</xdr:row>
      <xdr:rowOff>38100</xdr:rowOff>
    </xdr:from>
    <xdr:to>
      <xdr:col>28</xdr:col>
      <xdr:colOff>476250</xdr:colOff>
      <xdr:row>36</xdr:row>
      <xdr:rowOff>57151</xdr:rowOff>
    </xdr:to>
    <xdr:sp macro="" textlink="">
      <xdr:nvSpPr>
        <xdr:cNvPr id="34" name="TextBox 33"/>
        <xdr:cNvSpPr txBox="1"/>
      </xdr:nvSpPr>
      <xdr:spPr>
        <a:xfrm>
          <a:off x="18526125" y="6819900"/>
          <a:ext cx="352425" cy="209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</a:t>
          </a:r>
        </a:p>
      </xdr:txBody>
    </xdr:sp>
    <xdr:clientData/>
  </xdr:twoCellAnchor>
  <xdr:twoCellAnchor>
    <xdr:from>
      <xdr:col>29</xdr:col>
      <xdr:colOff>114300</xdr:colOff>
      <xdr:row>45</xdr:row>
      <xdr:rowOff>1</xdr:rowOff>
    </xdr:from>
    <xdr:to>
      <xdr:col>29</xdr:col>
      <xdr:colOff>514350</xdr:colOff>
      <xdr:row>46</xdr:row>
      <xdr:rowOff>47627</xdr:rowOff>
    </xdr:to>
    <xdr:sp macro="" textlink="">
      <xdr:nvSpPr>
        <xdr:cNvPr id="36" name="TextBox 35"/>
        <xdr:cNvSpPr txBox="1"/>
      </xdr:nvSpPr>
      <xdr:spPr>
        <a:xfrm>
          <a:off x="19126200" y="8686801"/>
          <a:ext cx="400050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29</xdr:col>
      <xdr:colOff>390525</xdr:colOff>
      <xdr:row>35</xdr:row>
      <xdr:rowOff>47626</xdr:rowOff>
    </xdr:from>
    <xdr:to>
      <xdr:col>30</xdr:col>
      <xdr:colOff>180975</xdr:colOff>
      <xdr:row>36</xdr:row>
      <xdr:rowOff>95252</xdr:rowOff>
    </xdr:to>
    <xdr:sp macro="" textlink="">
      <xdr:nvSpPr>
        <xdr:cNvPr id="37" name="TextBox 36"/>
        <xdr:cNvSpPr txBox="1"/>
      </xdr:nvSpPr>
      <xdr:spPr>
        <a:xfrm>
          <a:off x="19402425" y="6829426"/>
          <a:ext cx="400050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n.s.</a:t>
          </a:r>
        </a:p>
      </xdr:txBody>
    </xdr:sp>
    <xdr:clientData/>
  </xdr:twoCellAnchor>
  <xdr:twoCellAnchor>
    <xdr:from>
      <xdr:col>30</xdr:col>
      <xdr:colOff>19050</xdr:colOff>
      <xdr:row>44</xdr:row>
      <xdr:rowOff>47626</xdr:rowOff>
    </xdr:from>
    <xdr:to>
      <xdr:col>30</xdr:col>
      <xdr:colOff>419100</xdr:colOff>
      <xdr:row>45</xdr:row>
      <xdr:rowOff>95252</xdr:rowOff>
    </xdr:to>
    <xdr:sp macro="" textlink="">
      <xdr:nvSpPr>
        <xdr:cNvPr id="38" name="TextBox 37"/>
        <xdr:cNvSpPr txBox="1"/>
      </xdr:nvSpPr>
      <xdr:spPr>
        <a:xfrm>
          <a:off x="19640550" y="8543926"/>
          <a:ext cx="400050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n.s.</a:t>
          </a:r>
        </a:p>
      </xdr:txBody>
    </xdr:sp>
    <xdr:clientData/>
  </xdr:twoCellAnchor>
  <xdr:twoCellAnchor>
    <xdr:from>
      <xdr:col>31</xdr:col>
      <xdr:colOff>57150</xdr:colOff>
      <xdr:row>35</xdr:row>
      <xdr:rowOff>114301</xdr:rowOff>
    </xdr:from>
    <xdr:to>
      <xdr:col>31</xdr:col>
      <xdr:colOff>457200</xdr:colOff>
      <xdr:row>36</xdr:row>
      <xdr:rowOff>161927</xdr:rowOff>
    </xdr:to>
    <xdr:sp macro="" textlink="">
      <xdr:nvSpPr>
        <xdr:cNvPr id="39" name="TextBox 38"/>
        <xdr:cNvSpPr txBox="1"/>
      </xdr:nvSpPr>
      <xdr:spPr>
        <a:xfrm>
          <a:off x="20288250" y="6896101"/>
          <a:ext cx="400050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n.s.</a:t>
          </a:r>
        </a:p>
      </xdr:txBody>
    </xdr:sp>
    <xdr:clientData/>
  </xdr:twoCellAnchor>
  <xdr:twoCellAnchor>
    <xdr:from>
      <xdr:col>31</xdr:col>
      <xdr:colOff>285750</xdr:colOff>
      <xdr:row>44</xdr:row>
      <xdr:rowOff>28576</xdr:rowOff>
    </xdr:from>
    <xdr:to>
      <xdr:col>32</xdr:col>
      <xdr:colOff>76200</xdr:colOff>
      <xdr:row>45</xdr:row>
      <xdr:rowOff>76202</xdr:rowOff>
    </xdr:to>
    <xdr:sp macro="" textlink="">
      <xdr:nvSpPr>
        <xdr:cNvPr id="40" name="TextBox 39"/>
        <xdr:cNvSpPr txBox="1"/>
      </xdr:nvSpPr>
      <xdr:spPr>
        <a:xfrm>
          <a:off x="20516850" y="8524876"/>
          <a:ext cx="400050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32</xdr:col>
      <xdr:colOff>285750</xdr:colOff>
      <xdr:row>36</xdr:row>
      <xdr:rowOff>85726</xdr:rowOff>
    </xdr:from>
    <xdr:to>
      <xdr:col>33</xdr:col>
      <xdr:colOff>76200</xdr:colOff>
      <xdr:row>37</xdr:row>
      <xdr:rowOff>133352</xdr:rowOff>
    </xdr:to>
    <xdr:sp macro="" textlink="">
      <xdr:nvSpPr>
        <xdr:cNvPr id="41" name="TextBox 40"/>
        <xdr:cNvSpPr txBox="1"/>
      </xdr:nvSpPr>
      <xdr:spPr>
        <a:xfrm>
          <a:off x="21126450" y="7058026"/>
          <a:ext cx="400050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32</xdr:col>
      <xdr:colOff>542925</xdr:colOff>
      <xdr:row>43</xdr:row>
      <xdr:rowOff>123826</xdr:rowOff>
    </xdr:from>
    <xdr:to>
      <xdr:col>33</xdr:col>
      <xdr:colOff>333375</xdr:colOff>
      <xdr:row>44</xdr:row>
      <xdr:rowOff>171452</xdr:rowOff>
    </xdr:to>
    <xdr:sp macro="" textlink="">
      <xdr:nvSpPr>
        <xdr:cNvPr id="42" name="TextBox 41"/>
        <xdr:cNvSpPr txBox="1"/>
      </xdr:nvSpPr>
      <xdr:spPr>
        <a:xfrm>
          <a:off x="21383625" y="8429626"/>
          <a:ext cx="400050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12</xdr:col>
      <xdr:colOff>295275</xdr:colOff>
      <xdr:row>52</xdr:row>
      <xdr:rowOff>171450</xdr:rowOff>
    </xdr:from>
    <xdr:to>
      <xdr:col>18</xdr:col>
      <xdr:colOff>447675</xdr:colOff>
      <xdr:row>67</xdr:row>
      <xdr:rowOff>0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361952</xdr:colOff>
      <xdr:row>53</xdr:row>
      <xdr:rowOff>28575</xdr:rowOff>
    </xdr:from>
    <xdr:to>
      <xdr:col>12</xdr:col>
      <xdr:colOff>785815</xdr:colOff>
      <xdr:row>66</xdr:row>
      <xdr:rowOff>157163</xdr:rowOff>
    </xdr:to>
    <xdr:sp macro="" textlink="">
      <xdr:nvSpPr>
        <xdr:cNvPr id="45" name="TextBox 44"/>
        <xdr:cNvSpPr txBox="1"/>
      </xdr:nvSpPr>
      <xdr:spPr>
        <a:xfrm rot="16200000">
          <a:off x="7129465" y="11358562"/>
          <a:ext cx="2662238" cy="423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Differentiation level in FAO gene null </a:t>
          </a:r>
        </a:p>
        <a:p>
          <a:pPr algn="ctr"/>
          <a:r>
            <a:rPr lang="en-IN" sz="1100" b="1"/>
            <a:t>loss of function</a:t>
          </a:r>
        </a:p>
      </xdr:txBody>
    </xdr:sp>
    <xdr:clientData/>
  </xdr:twoCellAnchor>
  <xdr:twoCellAnchor>
    <xdr:from>
      <xdr:col>14</xdr:col>
      <xdr:colOff>428625</xdr:colOff>
      <xdr:row>59</xdr:row>
      <xdr:rowOff>152399</xdr:rowOff>
    </xdr:from>
    <xdr:to>
      <xdr:col>15</xdr:col>
      <xdr:colOff>276225</xdr:colOff>
      <xdr:row>60</xdr:row>
      <xdr:rowOff>114300</xdr:rowOff>
    </xdr:to>
    <xdr:sp macro="" textlink="">
      <xdr:nvSpPr>
        <xdr:cNvPr id="46" name="TextBox 45"/>
        <xdr:cNvSpPr txBox="1"/>
      </xdr:nvSpPr>
      <xdr:spPr>
        <a:xfrm>
          <a:off x="9915525" y="11563349"/>
          <a:ext cx="457200" cy="152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15</xdr:col>
      <xdr:colOff>485775</xdr:colOff>
      <xdr:row>59</xdr:row>
      <xdr:rowOff>104774</xdr:rowOff>
    </xdr:from>
    <xdr:to>
      <xdr:col>16</xdr:col>
      <xdr:colOff>142875</xdr:colOff>
      <xdr:row>60</xdr:row>
      <xdr:rowOff>66675</xdr:rowOff>
    </xdr:to>
    <xdr:sp macro="" textlink="">
      <xdr:nvSpPr>
        <xdr:cNvPr id="47" name="TextBox 46"/>
        <xdr:cNvSpPr txBox="1"/>
      </xdr:nvSpPr>
      <xdr:spPr>
        <a:xfrm>
          <a:off x="10582275" y="11515724"/>
          <a:ext cx="457200" cy="152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16</xdr:col>
      <xdr:colOff>419100</xdr:colOff>
      <xdr:row>59</xdr:row>
      <xdr:rowOff>104774</xdr:rowOff>
    </xdr:from>
    <xdr:to>
      <xdr:col>17</xdr:col>
      <xdr:colOff>76200</xdr:colOff>
      <xdr:row>60</xdr:row>
      <xdr:rowOff>66675</xdr:rowOff>
    </xdr:to>
    <xdr:sp macro="" textlink="">
      <xdr:nvSpPr>
        <xdr:cNvPr id="48" name="TextBox 47"/>
        <xdr:cNvSpPr txBox="1"/>
      </xdr:nvSpPr>
      <xdr:spPr>
        <a:xfrm>
          <a:off x="11315700" y="11515724"/>
          <a:ext cx="457200" cy="152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17</xdr:col>
      <xdr:colOff>333375</xdr:colOff>
      <xdr:row>61</xdr:row>
      <xdr:rowOff>85724</xdr:rowOff>
    </xdr:from>
    <xdr:to>
      <xdr:col>18</xdr:col>
      <xdr:colOff>180975</xdr:colOff>
      <xdr:row>62</xdr:row>
      <xdr:rowOff>47625</xdr:rowOff>
    </xdr:to>
    <xdr:sp macro="" textlink="">
      <xdr:nvSpPr>
        <xdr:cNvPr id="49" name="TextBox 48"/>
        <xdr:cNvSpPr txBox="1"/>
      </xdr:nvSpPr>
      <xdr:spPr>
        <a:xfrm>
          <a:off x="12030075" y="11877674"/>
          <a:ext cx="457200" cy="152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12</xdr:col>
      <xdr:colOff>304800</xdr:colOff>
      <xdr:row>68</xdr:row>
      <xdr:rowOff>152400</xdr:rowOff>
    </xdr:from>
    <xdr:to>
      <xdr:col>18</xdr:col>
      <xdr:colOff>457200</xdr:colOff>
      <xdr:row>83</xdr:row>
      <xdr:rowOff>38100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561975</xdr:colOff>
      <xdr:row>75</xdr:row>
      <xdr:rowOff>114299</xdr:rowOff>
    </xdr:from>
    <xdr:to>
      <xdr:col>16</xdr:col>
      <xdr:colOff>219075</xdr:colOff>
      <xdr:row>76</xdr:row>
      <xdr:rowOff>76200</xdr:rowOff>
    </xdr:to>
    <xdr:sp macro="" textlink="">
      <xdr:nvSpPr>
        <xdr:cNvPr id="51" name="TextBox 50"/>
        <xdr:cNvSpPr txBox="1"/>
      </xdr:nvSpPr>
      <xdr:spPr>
        <a:xfrm>
          <a:off x="10658475" y="14573249"/>
          <a:ext cx="457200" cy="152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17</xdr:col>
      <xdr:colOff>114300</xdr:colOff>
      <xdr:row>75</xdr:row>
      <xdr:rowOff>66674</xdr:rowOff>
    </xdr:from>
    <xdr:to>
      <xdr:col>17</xdr:col>
      <xdr:colOff>571500</xdr:colOff>
      <xdr:row>76</xdr:row>
      <xdr:rowOff>28575</xdr:rowOff>
    </xdr:to>
    <xdr:sp macro="" textlink="">
      <xdr:nvSpPr>
        <xdr:cNvPr id="52" name="TextBox 51"/>
        <xdr:cNvSpPr txBox="1"/>
      </xdr:nvSpPr>
      <xdr:spPr>
        <a:xfrm>
          <a:off x="11811000" y="14525624"/>
          <a:ext cx="457200" cy="152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12</xdr:col>
      <xdr:colOff>357190</xdr:colOff>
      <xdr:row>68</xdr:row>
      <xdr:rowOff>180974</xdr:rowOff>
    </xdr:from>
    <xdr:to>
      <xdr:col>13</xdr:col>
      <xdr:colOff>47629</xdr:colOff>
      <xdr:row>83</xdr:row>
      <xdr:rowOff>19050</xdr:rowOff>
    </xdr:to>
    <xdr:sp macro="" textlink="">
      <xdr:nvSpPr>
        <xdr:cNvPr id="53" name="TextBox 52"/>
        <xdr:cNvSpPr txBox="1"/>
      </xdr:nvSpPr>
      <xdr:spPr>
        <a:xfrm rot="16200000">
          <a:off x="7141372" y="14408942"/>
          <a:ext cx="2695576" cy="4905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Differentiation level in lymph gland with </a:t>
          </a:r>
        </a:p>
        <a:p>
          <a:pPr algn="ctr"/>
          <a:r>
            <a:rPr lang="en-IN" sz="1100" b="1"/>
            <a:t>FAO blocked by pharmaceutical inhibitors</a:t>
          </a:r>
        </a:p>
      </xdr:txBody>
    </xdr:sp>
    <xdr:clientData/>
  </xdr:twoCellAnchor>
  <xdr:twoCellAnchor>
    <xdr:from>
      <xdr:col>12</xdr:col>
      <xdr:colOff>752474</xdr:colOff>
      <xdr:row>84</xdr:row>
      <xdr:rowOff>133350</xdr:rowOff>
    </xdr:from>
    <xdr:to>
      <xdr:col>17</xdr:col>
      <xdr:colOff>533399</xdr:colOff>
      <xdr:row>98</xdr:row>
      <xdr:rowOff>180975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409575</xdr:colOff>
      <xdr:row>91</xdr:row>
      <xdr:rowOff>142874</xdr:rowOff>
    </xdr:from>
    <xdr:to>
      <xdr:col>17</xdr:col>
      <xdr:colOff>66675</xdr:colOff>
      <xdr:row>92</xdr:row>
      <xdr:rowOff>104775</xdr:rowOff>
    </xdr:to>
    <xdr:sp macro="" textlink="">
      <xdr:nvSpPr>
        <xdr:cNvPr id="55" name="TextBox 54"/>
        <xdr:cNvSpPr txBox="1"/>
      </xdr:nvSpPr>
      <xdr:spPr>
        <a:xfrm>
          <a:off x="11306175" y="17678399"/>
          <a:ext cx="457200" cy="152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12</xdr:col>
      <xdr:colOff>771529</xdr:colOff>
      <xdr:row>84</xdr:row>
      <xdr:rowOff>142877</xdr:rowOff>
    </xdr:from>
    <xdr:to>
      <xdr:col>13</xdr:col>
      <xdr:colOff>514354</xdr:colOff>
      <xdr:row>98</xdr:row>
      <xdr:rowOff>171450</xdr:rowOff>
    </xdr:to>
    <xdr:sp macro="" textlink="">
      <xdr:nvSpPr>
        <xdr:cNvPr id="56" name="TextBox 55"/>
        <xdr:cNvSpPr txBox="1"/>
      </xdr:nvSpPr>
      <xdr:spPr>
        <a:xfrm rot="16200000">
          <a:off x="7567618" y="17406938"/>
          <a:ext cx="2724148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Differentiation level in whd RNAi</a:t>
          </a:r>
          <a:r>
            <a:rPr lang="en-IN" sz="1100" b="1" baseline="30000"/>
            <a:t>KK</a:t>
          </a:r>
          <a:r>
            <a:rPr lang="en-IN" sz="1100" b="1"/>
            <a:t> </a:t>
          </a:r>
        </a:p>
        <a:p>
          <a:pPr algn="ctr"/>
          <a:r>
            <a:rPr lang="en-IN" sz="1100" b="1"/>
            <a:t>knockdown from TepIV-GAL4 hemocyte progenitor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0.34364</cdr:x>
      <cdr:y>0.71333</cdr:y>
    </cdr:from>
    <cdr:to>
      <cdr:x>0.42096</cdr:x>
      <cdr:y>0.79333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000" y="2038351"/>
          <a:ext cx="428625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N" sz="1100"/>
            <a:t>n.s.</a:t>
          </a:r>
        </a:p>
      </cdr:txBody>
    </cdr:sp>
  </cdr:relSizeAnchor>
  <cdr:relSizeAnchor xmlns:cdr="http://schemas.openxmlformats.org/drawingml/2006/chartDrawing">
    <cdr:from>
      <cdr:x>0.3866</cdr:x>
      <cdr:y>0.09</cdr:y>
    </cdr:from>
    <cdr:to>
      <cdr:x>0.46392</cdr:x>
      <cdr:y>0.17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43125" y="257175"/>
          <a:ext cx="428625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100"/>
            <a:t>n.s.</a:t>
          </a:r>
        </a:p>
      </cdr:txBody>
    </cdr:sp>
  </cdr:relSizeAnchor>
  <cdr:relSizeAnchor xmlns:cdr="http://schemas.openxmlformats.org/drawingml/2006/chartDrawing">
    <cdr:from>
      <cdr:x>0.44674</cdr:x>
      <cdr:y>0.71667</cdr:y>
    </cdr:from>
    <cdr:to>
      <cdr:x>0.49485</cdr:x>
      <cdr:y>0.77667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476501" y="2047875"/>
          <a:ext cx="266700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100"/>
            <a:t>*</a:t>
          </a:r>
        </a:p>
      </cdr:txBody>
    </cdr:sp>
  </cdr:relSizeAnchor>
  <cdr:relSizeAnchor xmlns:cdr="http://schemas.openxmlformats.org/drawingml/2006/chartDrawing">
    <cdr:from>
      <cdr:x>0.51375</cdr:x>
      <cdr:y>0.76333</cdr:y>
    </cdr:from>
    <cdr:to>
      <cdr:x>0.56186</cdr:x>
      <cdr:y>0.82333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847975" y="2181225"/>
          <a:ext cx="266700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100"/>
            <a:t>*</a:t>
          </a:r>
        </a:p>
      </cdr:txBody>
    </cdr:sp>
  </cdr:relSizeAnchor>
  <cdr:relSizeAnchor xmlns:cdr="http://schemas.openxmlformats.org/drawingml/2006/chartDrawing">
    <cdr:from>
      <cdr:x>0.54296</cdr:x>
      <cdr:y>0.21333</cdr:y>
    </cdr:from>
    <cdr:to>
      <cdr:x>0.62371</cdr:x>
      <cdr:y>0.27333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009899" y="609600"/>
          <a:ext cx="447676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100"/>
            <a:t>***</a:t>
          </a:r>
        </a:p>
      </cdr:txBody>
    </cdr:sp>
  </cdr:relSizeAnchor>
  <cdr:relSizeAnchor xmlns:cdr="http://schemas.openxmlformats.org/drawingml/2006/chartDrawing">
    <cdr:from>
      <cdr:x>0.5945</cdr:x>
      <cdr:y>0.71</cdr:y>
    </cdr:from>
    <cdr:to>
      <cdr:x>0.66838</cdr:x>
      <cdr:y>0.78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295649" y="2028826"/>
          <a:ext cx="40957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100"/>
            <a:t>**</a:t>
          </a:r>
        </a:p>
      </cdr:txBody>
    </cdr:sp>
  </cdr:relSizeAnchor>
  <cdr:relSizeAnchor xmlns:cdr="http://schemas.openxmlformats.org/drawingml/2006/chartDrawing">
    <cdr:from>
      <cdr:x>0.69931</cdr:x>
      <cdr:y>0.34333</cdr:y>
    </cdr:from>
    <cdr:to>
      <cdr:x>0.78007</cdr:x>
      <cdr:y>0.40333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876675" y="981075"/>
          <a:ext cx="447676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100"/>
            <a:t>***</a:t>
          </a:r>
        </a:p>
      </cdr:txBody>
    </cdr:sp>
  </cdr:relSizeAnchor>
  <cdr:relSizeAnchor xmlns:cdr="http://schemas.openxmlformats.org/drawingml/2006/chartDrawing">
    <cdr:from>
      <cdr:x>0.7457</cdr:x>
      <cdr:y>0.68</cdr:y>
    </cdr:from>
    <cdr:to>
      <cdr:x>0.82646</cdr:x>
      <cdr:y>0.74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133850" y="1943100"/>
          <a:ext cx="447676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100"/>
            <a:t>***</a:t>
          </a:r>
        </a:p>
      </cdr:txBody>
    </cdr:sp>
  </cdr:relSizeAnchor>
  <cdr:relSizeAnchor xmlns:cdr="http://schemas.openxmlformats.org/drawingml/2006/chartDrawing">
    <cdr:from>
      <cdr:x>0.85739</cdr:x>
      <cdr:y>0.50333</cdr:y>
    </cdr:from>
    <cdr:to>
      <cdr:x>0.93814</cdr:x>
      <cdr:y>0.56333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752975" y="1438275"/>
          <a:ext cx="447676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100"/>
            <a:t>***</a:t>
          </a:r>
        </a:p>
      </cdr:txBody>
    </cdr:sp>
  </cdr:relSizeAnchor>
  <cdr:relSizeAnchor xmlns:cdr="http://schemas.openxmlformats.org/drawingml/2006/chartDrawing">
    <cdr:from>
      <cdr:x>0.90206</cdr:x>
      <cdr:y>0.63333</cdr:y>
    </cdr:from>
    <cdr:to>
      <cdr:x>0.98282</cdr:x>
      <cdr:y>0.69333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000625" y="1809750"/>
          <a:ext cx="447676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100"/>
            <a:t>***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X101"/>
  <sheetViews>
    <sheetView tabSelected="1" topLeftCell="AA1" workbookViewId="0">
      <selection activeCell="AK51" sqref="AK51"/>
    </sheetView>
  </sheetViews>
  <sheetFormatPr defaultRowHeight="15"/>
  <cols>
    <col min="4" max="4" width="12" bestFit="1" customWidth="1"/>
    <col min="9" max="10" width="12" bestFit="1" customWidth="1"/>
    <col min="13" max="14" width="12" bestFit="1" customWidth="1"/>
    <col min="16" max="17" width="12" bestFit="1" customWidth="1"/>
  </cols>
  <sheetData>
    <row r="1" spans="2:24">
      <c r="B1" s="3" t="s">
        <v>17</v>
      </c>
      <c r="T1" s="3" t="s">
        <v>18</v>
      </c>
    </row>
    <row r="2" spans="2:24" ht="17.25">
      <c r="C2" s="14" t="s">
        <v>32</v>
      </c>
      <c r="D2" s="15"/>
      <c r="E2" s="14" t="s">
        <v>33</v>
      </c>
      <c r="F2" s="15"/>
      <c r="U2" s="14" t="s">
        <v>32</v>
      </c>
      <c r="V2" s="15"/>
      <c r="W2" s="14" t="s">
        <v>33</v>
      </c>
      <c r="X2" s="15"/>
    </row>
    <row r="3" spans="2:24">
      <c r="B3" t="s">
        <v>8</v>
      </c>
      <c r="C3" s="1" t="s">
        <v>1</v>
      </c>
      <c r="D3" s="1" t="s">
        <v>2</v>
      </c>
      <c r="E3" s="1" t="s">
        <v>1</v>
      </c>
      <c r="F3" s="1" t="s">
        <v>2</v>
      </c>
      <c r="T3" t="s">
        <v>8</v>
      </c>
      <c r="U3" s="1" t="s">
        <v>1</v>
      </c>
      <c r="V3" s="1" t="s">
        <v>2</v>
      </c>
      <c r="W3" s="1" t="s">
        <v>1</v>
      </c>
      <c r="X3" s="1" t="s">
        <v>2</v>
      </c>
    </row>
    <row r="4" spans="2:24">
      <c r="B4">
        <v>1</v>
      </c>
      <c r="C4" s="6">
        <f t="shared" ref="C4:C13" si="0">U4*100</f>
        <v>36.920067076579095</v>
      </c>
      <c r="D4" s="6">
        <f t="shared" ref="D4:D13" si="1">V4*100</f>
        <v>15.651201788708777</v>
      </c>
      <c r="E4" s="6">
        <f t="shared" ref="E4:E13" si="2">W4*100</f>
        <v>79.148499615285971</v>
      </c>
      <c r="F4" s="6">
        <f t="shared" ref="F4:F13" si="3">X4*100</f>
        <v>12.567324955116696</v>
      </c>
      <c r="G4" s="7"/>
      <c r="H4" s="7"/>
      <c r="M4" s="8"/>
      <c r="N4" s="8"/>
      <c r="T4">
        <v>1</v>
      </c>
      <c r="U4" s="6">
        <f>(1321/3578)</f>
        <v>0.36920067076579094</v>
      </c>
      <c r="V4" s="9">
        <f>560/3578</f>
        <v>0.15651201788708777</v>
      </c>
      <c r="W4" s="9">
        <f>3086/3899</f>
        <v>0.79148499615285972</v>
      </c>
      <c r="X4" s="6">
        <f>490/3899</f>
        <v>0.12567324955116696</v>
      </c>
    </row>
    <row r="5" spans="2:24" ht="17.25">
      <c r="B5">
        <v>2</v>
      </c>
      <c r="C5" s="6">
        <f t="shared" si="0"/>
        <v>28.486782133090244</v>
      </c>
      <c r="D5" s="6">
        <f t="shared" si="1"/>
        <v>13.445761166818595</v>
      </c>
      <c r="E5" s="6">
        <f t="shared" si="2"/>
        <v>85.356990166737916</v>
      </c>
      <c r="F5" s="6">
        <f t="shared" si="3"/>
        <v>10.431808465156049</v>
      </c>
      <c r="G5" s="7"/>
      <c r="H5" s="7"/>
      <c r="J5" s="4" t="s">
        <v>32</v>
      </c>
      <c r="K5" s="4" t="s">
        <v>34</v>
      </c>
      <c r="M5" s="8"/>
      <c r="N5" s="8"/>
      <c r="T5">
        <v>2</v>
      </c>
      <c r="U5" s="6">
        <f>(1250/4388)</f>
        <v>0.28486782133090244</v>
      </c>
      <c r="V5" s="9">
        <f>590/4388</f>
        <v>0.13445761166818596</v>
      </c>
      <c r="W5" s="9">
        <f>3993/4678</f>
        <v>0.85356990166737923</v>
      </c>
      <c r="X5" s="6">
        <f>488/4678</f>
        <v>0.10431808465156049</v>
      </c>
    </row>
    <row r="6" spans="2:24">
      <c r="B6">
        <v>3</v>
      </c>
      <c r="C6" s="6">
        <f t="shared" si="0"/>
        <v>33.399252911448038</v>
      </c>
      <c r="D6" s="6">
        <f t="shared" si="1"/>
        <v>17.161063502526915</v>
      </c>
      <c r="E6" s="6">
        <f t="shared" si="2"/>
        <v>84.246575342465761</v>
      </c>
      <c r="F6" s="6">
        <f t="shared" si="3"/>
        <v>9.5205479452054789</v>
      </c>
      <c r="G6" s="7"/>
      <c r="H6" s="7"/>
      <c r="I6" s="1" t="s">
        <v>1</v>
      </c>
      <c r="J6">
        <v>30.657316336704699</v>
      </c>
      <c r="K6">
        <v>76.317077049568695</v>
      </c>
      <c r="M6" s="8"/>
      <c r="N6" s="8"/>
      <c r="T6">
        <v>3</v>
      </c>
      <c r="U6" s="6">
        <f>1520/4551</f>
        <v>0.33399252911448035</v>
      </c>
      <c r="V6" s="9">
        <f>781/4551</f>
        <v>0.17161063502526916</v>
      </c>
      <c r="W6" s="9">
        <f>3690/4380</f>
        <v>0.84246575342465757</v>
      </c>
      <c r="X6" s="6">
        <f>417/4380</f>
        <v>9.5205479452054792E-2</v>
      </c>
    </row>
    <row r="7" spans="2:24">
      <c r="B7">
        <v>4</v>
      </c>
      <c r="C7" s="6">
        <f t="shared" si="0"/>
        <v>30.306122448979593</v>
      </c>
      <c r="D7" s="6">
        <f t="shared" si="1"/>
        <v>16.918367346938776</v>
      </c>
      <c r="E7" s="6">
        <f t="shared" si="2"/>
        <v>75.731284085275163</v>
      </c>
      <c r="F7" s="6">
        <f t="shared" si="3"/>
        <v>12.196331184928111</v>
      </c>
      <c r="G7" s="7"/>
      <c r="H7" s="7"/>
      <c r="I7" s="1" t="s">
        <v>2</v>
      </c>
      <c r="J7">
        <v>17.792963001796402</v>
      </c>
      <c r="K7">
        <v>10.6858166188164</v>
      </c>
      <c r="M7" s="8"/>
      <c r="N7" s="8"/>
      <c r="T7">
        <v>4</v>
      </c>
      <c r="U7" s="6">
        <f>1485/4900</f>
        <v>0.30306122448979594</v>
      </c>
      <c r="V7" s="9">
        <f>829/4900</f>
        <v>0.16918367346938776</v>
      </c>
      <c r="W7" s="9">
        <f>3055/4034</f>
        <v>0.75731284085275163</v>
      </c>
      <c r="X7" s="6">
        <f>492/4034</f>
        <v>0.12196331184928111</v>
      </c>
    </row>
    <row r="8" spans="2:24">
      <c r="B8">
        <v>5</v>
      </c>
      <c r="C8" s="6">
        <f t="shared" si="0"/>
        <v>29.17728852838934</v>
      </c>
      <c r="D8" s="6">
        <f t="shared" si="1"/>
        <v>17.72885283893395</v>
      </c>
      <c r="E8" s="6">
        <f t="shared" si="2"/>
        <v>71.482965931863731</v>
      </c>
      <c r="F8" s="6">
        <f t="shared" si="3"/>
        <v>5.591182364729459</v>
      </c>
      <c r="G8" s="7"/>
      <c r="H8" s="7"/>
      <c r="M8" s="8"/>
      <c r="N8" s="8"/>
      <c r="T8">
        <v>5</v>
      </c>
      <c r="U8" s="6">
        <f>1259/4315</f>
        <v>0.29177288528389339</v>
      </c>
      <c r="V8" s="9">
        <f>765/4315</f>
        <v>0.17728852838933951</v>
      </c>
      <c r="W8" s="9">
        <f>3567/4990</f>
        <v>0.71482965931863729</v>
      </c>
      <c r="X8" s="6">
        <f>279/4990</f>
        <v>5.5911823647294592E-2</v>
      </c>
    </row>
    <row r="9" spans="2:24">
      <c r="B9">
        <v>6</v>
      </c>
      <c r="C9" s="6">
        <f t="shared" si="0"/>
        <v>25.041946308724832</v>
      </c>
      <c r="D9" s="6">
        <f t="shared" si="1"/>
        <v>18.435402684563758</v>
      </c>
      <c r="E9" s="6">
        <f t="shared" si="2"/>
        <v>73.687236489076284</v>
      </c>
      <c r="F9" s="6">
        <f t="shared" si="3"/>
        <v>10.022997316979685</v>
      </c>
      <c r="G9" s="7"/>
      <c r="H9" s="7"/>
      <c r="M9" s="8"/>
      <c r="N9" s="8"/>
      <c r="T9">
        <v>6</v>
      </c>
      <c r="U9" s="6">
        <f>1194/4768</f>
        <v>0.25041946308724833</v>
      </c>
      <c r="V9" s="9">
        <f>879/4768</f>
        <v>0.18435402684563759</v>
      </c>
      <c r="W9" s="9">
        <f>3845/5218</f>
        <v>0.7368723648907628</v>
      </c>
      <c r="X9" s="6">
        <f>523/5218</f>
        <v>0.10022997316979686</v>
      </c>
    </row>
    <row r="10" spans="2:24" ht="17.25">
      <c r="B10">
        <v>7</v>
      </c>
      <c r="C10" s="6">
        <f t="shared" si="0"/>
        <v>31.621423330887747</v>
      </c>
      <c r="D10" s="6">
        <f t="shared" si="1"/>
        <v>17.559305453656151</v>
      </c>
      <c r="E10" s="6">
        <f t="shared" si="2"/>
        <v>74.392324093816626</v>
      </c>
      <c r="F10" s="6">
        <f t="shared" si="3"/>
        <v>11.321961620469082</v>
      </c>
      <c r="G10" s="7"/>
      <c r="H10" s="7"/>
      <c r="J10" s="4" t="s">
        <v>32</v>
      </c>
      <c r="K10" s="4" t="s">
        <v>34</v>
      </c>
      <c r="M10" s="8"/>
      <c r="N10" s="8"/>
      <c r="T10">
        <v>7</v>
      </c>
      <c r="U10" s="6">
        <f>1293/4089</f>
        <v>0.31621423330887749</v>
      </c>
      <c r="V10" s="9">
        <f>718/4089</f>
        <v>0.17559305453656152</v>
      </c>
      <c r="W10" s="9">
        <f>3489/4690</f>
        <v>0.74392324093816631</v>
      </c>
      <c r="X10" s="6">
        <f>531/4690</f>
        <v>0.11321961620469083</v>
      </c>
    </row>
    <row r="11" spans="2:24">
      <c r="B11">
        <v>8</v>
      </c>
      <c r="C11" s="6">
        <f t="shared" si="0"/>
        <v>33.933933933933936</v>
      </c>
      <c r="D11" s="6">
        <f t="shared" si="1"/>
        <v>20.32032032032032</v>
      </c>
      <c r="E11" s="6">
        <f t="shared" si="2"/>
        <v>72.551481667503765</v>
      </c>
      <c r="F11" s="6">
        <f t="shared" si="3"/>
        <v>10.647915620291311</v>
      </c>
      <c r="G11" s="7"/>
      <c r="H11" s="7"/>
      <c r="I11" s="1" t="s">
        <v>1</v>
      </c>
      <c r="J11">
        <v>3.401464970615292</v>
      </c>
      <c r="K11">
        <v>4.9425241769367299</v>
      </c>
      <c r="M11" s="8"/>
      <c r="N11" s="8"/>
      <c r="T11">
        <v>8</v>
      </c>
      <c r="U11" s="6">
        <f>1356/3996</f>
        <v>0.33933933933933935</v>
      </c>
      <c r="V11" s="9">
        <f>812/3996</f>
        <v>0.2032032032032032</v>
      </c>
      <c r="W11" s="9">
        <f>2889/3982</f>
        <v>0.7255148166750377</v>
      </c>
      <c r="X11" s="6">
        <f>424/3982</f>
        <v>0.10647915620291311</v>
      </c>
    </row>
    <row r="12" spans="2:24">
      <c r="B12">
        <v>9</v>
      </c>
      <c r="C12" s="6">
        <f t="shared" si="0"/>
        <v>29.383561643835616</v>
      </c>
      <c r="D12" s="6">
        <f t="shared" si="1"/>
        <v>20</v>
      </c>
      <c r="E12" s="6">
        <f t="shared" si="2"/>
        <v>73.713592233009706</v>
      </c>
      <c r="F12" s="6">
        <f t="shared" si="3"/>
        <v>14.101941747572816</v>
      </c>
      <c r="G12" s="7"/>
      <c r="H12" s="7"/>
      <c r="I12" s="1" t="s">
        <v>2</v>
      </c>
      <c r="J12">
        <v>2.2332050524004701</v>
      </c>
      <c r="K12">
        <v>2.2550560235897499</v>
      </c>
      <c r="M12" s="8"/>
      <c r="N12" s="8"/>
      <c r="T12">
        <v>9</v>
      </c>
      <c r="U12" s="6">
        <f>1287/4380</f>
        <v>0.29383561643835615</v>
      </c>
      <c r="V12" s="9">
        <f>876/4380</f>
        <v>0.2</v>
      </c>
      <c r="W12" s="9">
        <f>3037/4120</f>
        <v>0.73713592233009706</v>
      </c>
      <c r="X12" s="6">
        <f>581/4120</f>
        <v>0.14101941747572816</v>
      </c>
    </row>
    <row r="13" spans="2:24">
      <c r="B13">
        <v>10</v>
      </c>
      <c r="C13" s="6">
        <f t="shared" si="0"/>
        <v>28.30278505117829</v>
      </c>
      <c r="D13" s="6">
        <f t="shared" si="1"/>
        <v>20.709354915496313</v>
      </c>
      <c r="E13" s="6">
        <f t="shared" si="2"/>
        <v>72.859820870651944</v>
      </c>
      <c r="F13" s="6">
        <f t="shared" si="3"/>
        <v>10.456154967715058</v>
      </c>
      <c r="G13" s="7"/>
      <c r="H13" s="7"/>
      <c r="M13" s="8"/>
      <c r="N13" s="8"/>
      <c r="T13">
        <v>10</v>
      </c>
      <c r="U13" s="6">
        <f>1189/4201</f>
        <v>0.28302785051178292</v>
      </c>
      <c r="V13" s="9">
        <f>870/4201</f>
        <v>0.20709354915496311</v>
      </c>
      <c r="W13" s="9">
        <f>3498/4801</f>
        <v>0.72859820870651948</v>
      </c>
      <c r="X13" s="6">
        <f>502/4801</f>
        <v>0.10456154967715059</v>
      </c>
    </row>
    <row r="14" spans="2:24">
      <c r="B14" s="2" t="s">
        <v>9</v>
      </c>
      <c r="C14">
        <f>AVERAGE(C4:C13)</f>
        <v>30.657316336704675</v>
      </c>
      <c r="D14">
        <f t="shared" ref="D14:F14" si="4">AVERAGE(D4:D13)</f>
        <v>17.792963001796355</v>
      </c>
      <c r="E14">
        <f t="shared" si="4"/>
        <v>76.317077049568681</v>
      </c>
      <c r="F14">
        <f t="shared" si="4"/>
        <v>10.685816618816375</v>
      </c>
      <c r="T14" s="2" t="s">
        <v>9</v>
      </c>
      <c r="U14">
        <f>AVERAGE(U4:U13)</f>
        <v>0.30657316336704671</v>
      </c>
      <c r="V14">
        <f t="shared" ref="V14:X14" si="5">AVERAGE(V4:V13)</f>
        <v>0.17792963001796355</v>
      </c>
      <c r="W14">
        <f t="shared" si="5"/>
        <v>0.76317077049568682</v>
      </c>
      <c r="X14">
        <f t="shared" si="5"/>
        <v>0.10685816618816375</v>
      </c>
    </row>
    <row r="15" spans="2:24">
      <c r="B15" s="2" t="s">
        <v>10</v>
      </c>
      <c r="C15">
        <f>STDEV(C4:C13)</f>
        <v>3.401464970615292</v>
      </c>
      <c r="D15">
        <f t="shared" ref="D15:F15" si="6">STDEV(D4:D13)</f>
        <v>2.2332050524005034</v>
      </c>
      <c r="E15">
        <f t="shared" si="6"/>
        <v>4.9425241769367823</v>
      </c>
      <c r="F15">
        <f t="shared" si="6"/>
        <v>2.2550560235897517</v>
      </c>
      <c r="T15" s="2" t="s">
        <v>10</v>
      </c>
      <c r="U15">
        <f>STDEV(U4:U13)</f>
        <v>3.401464970615261E-2</v>
      </c>
      <c r="V15">
        <f t="shared" ref="V15:X15" si="7">STDEV(V4:V13)</f>
        <v>2.2332050524004693E-2</v>
      </c>
      <c r="W15">
        <f t="shared" si="7"/>
        <v>4.9425241769367328E-2</v>
      </c>
      <c r="X15">
        <f t="shared" si="7"/>
        <v>2.2550560235897504E-2</v>
      </c>
    </row>
    <row r="16" spans="2:24">
      <c r="B16" s="2" t="s">
        <v>11</v>
      </c>
      <c r="E16">
        <f>TTEST(E4:E13,C4:C13,2,3)</f>
        <v>5.7008323454079047E-14</v>
      </c>
      <c r="F16">
        <f>TTEST(F4:F13,D4:D13,2,3)</f>
        <v>1.3303893408368093E-6</v>
      </c>
      <c r="T16" s="2" t="s">
        <v>11</v>
      </c>
      <c r="W16">
        <f>TTEST(W4:W13,U4:U13,2,3)</f>
        <v>5.7008323454079691E-14</v>
      </c>
      <c r="X16">
        <f>TTEST(X4:X13,V4:V13,2,3)</f>
        <v>1.3303893408368096E-6</v>
      </c>
    </row>
    <row r="18" spans="2:50">
      <c r="B18" s="3" t="s">
        <v>19</v>
      </c>
      <c r="AI18" s="3" t="s">
        <v>40</v>
      </c>
    </row>
    <row r="19" spans="2:50">
      <c r="C19" s="12" t="s">
        <v>3</v>
      </c>
      <c r="D19" s="13"/>
      <c r="E19" s="13"/>
      <c r="F19" s="12" t="s">
        <v>4</v>
      </c>
      <c r="G19" s="13"/>
      <c r="H19" s="13"/>
      <c r="I19" s="12" t="s">
        <v>5</v>
      </c>
      <c r="J19" s="13"/>
      <c r="K19" s="13"/>
      <c r="L19" s="12" t="s">
        <v>6</v>
      </c>
      <c r="M19" s="13"/>
      <c r="N19" s="13"/>
      <c r="O19" s="12" t="s">
        <v>7</v>
      </c>
      <c r="P19" s="13"/>
      <c r="Q19" s="13"/>
      <c r="AJ19" s="12" t="s">
        <v>3</v>
      </c>
      <c r="AK19" s="13"/>
      <c r="AL19" s="13"/>
      <c r="AM19" s="12" t="s">
        <v>4</v>
      </c>
      <c r="AN19" s="13"/>
      <c r="AO19" s="13"/>
      <c r="AP19" s="12" t="s">
        <v>5</v>
      </c>
      <c r="AQ19" s="13"/>
      <c r="AR19" s="13"/>
      <c r="AS19" s="12" t="s">
        <v>6</v>
      </c>
      <c r="AT19" s="13"/>
      <c r="AU19" s="13"/>
      <c r="AV19" s="12" t="s">
        <v>7</v>
      </c>
      <c r="AW19" s="13"/>
      <c r="AX19" s="13"/>
    </row>
    <row r="20" spans="2:50">
      <c r="B20" t="s">
        <v>8</v>
      </c>
      <c r="C20" s="1" t="s">
        <v>0</v>
      </c>
      <c r="D20" s="1" t="s">
        <v>1</v>
      </c>
      <c r="E20" s="1" t="s">
        <v>2</v>
      </c>
      <c r="F20" s="1" t="s">
        <v>0</v>
      </c>
      <c r="G20" s="1" t="s">
        <v>1</v>
      </c>
      <c r="H20" s="1" t="s">
        <v>2</v>
      </c>
      <c r="I20" s="1" t="s">
        <v>0</v>
      </c>
      <c r="J20" s="1" t="s">
        <v>1</v>
      </c>
      <c r="K20" s="1" t="s">
        <v>2</v>
      </c>
      <c r="L20" s="1" t="s">
        <v>0</v>
      </c>
      <c r="M20" s="1" t="s">
        <v>1</v>
      </c>
      <c r="N20" s="1" t="s">
        <v>2</v>
      </c>
      <c r="O20" s="1" t="s">
        <v>0</v>
      </c>
      <c r="P20" s="1" t="s">
        <v>1</v>
      </c>
      <c r="Q20" s="1" t="s">
        <v>2</v>
      </c>
      <c r="AI20" t="s">
        <v>8</v>
      </c>
      <c r="AJ20" s="1" t="s">
        <v>0</v>
      </c>
      <c r="AK20" s="1" t="s">
        <v>1</v>
      </c>
      <c r="AL20" s="1" t="s">
        <v>2</v>
      </c>
      <c r="AM20" s="1" t="s">
        <v>0</v>
      </c>
      <c r="AN20" s="1" t="s">
        <v>1</v>
      </c>
      <c r="AO20" s="1" t="s">
        <v>2</v>
      </c>
      <c r="AP20" s="1" t="s">
        <v>0</v>
      </c>
      <c r="AQ20" s="1" t="s">
        <v>1</v>
      </c>
      <c r="AR20" s="1" t="s">
        <v>2</v>
      </c>
      <c r="AS20" s="1" t="s">
        <v>0</v>
      </c>
      <c r="AT20" s="1" t="s">
        <v>1</v>
      </c>
      <c r="AU20" s="1" t="s">
        <v>2</v>
      </c>
      <c r="AV20" s="1" t="s">
        <v>0</v>
      </c>
      <c r="AW20" s="1" t="s">
        <v>1</v>
      </c>
      <c r="AX20" s="1" t="s">
        <v>2</v>
      </c>
    </row>
    <row r="21" spans="2:50">
      <c r="B21">
        <v>1</v>
      </c>
      <c r="C21">
        <f>AJ21*100</f>
        <v>3.8071065989847721</v>
      </c>
      <c r="D21">
        <f t="shared" ref="D21:Q30" si="8">AK21*100</f>
        <v>75.634517766497467</v>
      </c>
      <c r="E21">
        <f t="shared" si="8"/>
        <v>4.0609137055837561</v>
      </c>
      <c r="F21">
        <f t="shared" si="8"/>
        <v>4.4419134396355346</v>
      </c>
      <c r="G21">
        <f t="shared" si="8"/>
        <v>78.587699316628701</v>
      </c>
      <c r="H21">
        <f t="shared" si="8"/>
        <v>6.7198177676537592</v>
      </c>
      <c r="I21">
        <f t="shared" si="8"/>
        <v>3.6535859269282813</v>
      </c>
      <c r="J21">
        <f t="shared" si="8"/>
        <v>60.757780784844385</v>
      </c>
      <c r="K21">
        <f t="shared" si="8"/>
        <v>6.4276048714479019</v>
      </c>
      <c r="L21">
        <f t="shared" si="8"/>
        <v>4.0355125100887811E-2</v>
      </c>
      <c r="M21">
        <f t="shared" si="8"/>
        <v>56.456820016142053</v>
      </c>
      <c r="N21">
        <f t="shared" si="8"/>
        <v>13.357546408393867</v>
      </c>
      <c r="O21">
        <f t="shared" si="8"/>
        <v>0</v>
      </c>
      <c r="P21">
        <f t="shared" si="8"/>
        <v>31.11852231913802</v>
      </c>
      <c r="Q21">
        <f t="shared" si="8"/>
        <v>17.701385325808104</v>
      </c>
      <c r="AI21">
        <v>1</v>
      </c>
      <c r="AJ21">
        <f>15/394</f>
        <v>3.8071065989847719E-2</v>
      </c>
      <c r="AK21">
        <f>298/394</f>
        <v>0.75634517766497467</v>
      </c>
      <c r="AL21">
        <f>16/394</f>
        <v>4.060913705583756E-2</v>
      </c>
      <c r="AM21">
        <f>39/878</f>
        <v>4.441913439635535E-2</v>
      </c>
      <c r="AN21">
        <f>690/878</f>
        <v>0.78587699316628701</v>
      </c>
      <c r="AO21">
        <f>59/878</f>
        <v>6.7198177676537588E-2</v>
      </c>
      <c r="AP21">
        <f>54/1478</f>
        <v>3.6535859269282815E-2</v>
      </c>
      <c r="AQ21">
        <f>898/1478</f>
        <v>0.60757780784844384</v>
      </c>
      <c r="AR21">
        <f>95/1478</f>
        <v>6.427604871447902E-2</v>
      </c>
      <c r="AS21">
        <f>1/2478</f>
        <v>4.0355125100887811E-4</v>
      </c>
      <c r="AT21">
        <f>1399/2478</f>
        <v>0.56456820016142051</v>
      </c>
      <c r="AU21">
        <f>331/2478</f>
        <v>0.13357546408393867</v>
      </c>
      <c r="AV21">
        <f>0/3898</f>
        <v>0</v>
      </c>
      <c r="AW21">
        <f>1213/3898</f>
        <v>0.3111852231913802</v>
      </c>
      <c r="AX21">
        <f>690/3898</f>
        <v>0.17701385325808106</v>
      </c>
    </row>
    <row r="22" spans="2:50">
      <c r="B22">
        <v>2</v>
      </c>
      <c r="C22">
        <f t="shared" ref="C22:C30" si="9">AJ22*100</f>
        <v>2.849740932642487</v>
      </c>
      <c r="D22">
        <f t="shared" si="8"/>
        <v>70.466321243523311</v>
      </c>
      <c r="E22">
        <f t="shared" si="8"/>
        <v>5.1813471502590671</v>
      </c>
      <c r="F22">
        <f t="shared" si="8"/>
        <v>6.866952789699571</v>
      </c>
      <c r="G22">
        <f t="shared" si="8"/>
        <v>77.253218884120173</v>
      </c>
      <c r="H22">
        <f t="shared" si="8"/>
        <v>6.4377682403433472</v>
      </c>
      <c r="I22">
        <f t="shared" si="8"/>
        <v>2.1402214022140225</v>
      </c>
      <c r="J22">
        <f t="shared" si="8"/>
        <v>63.46863468634686</v>
      </c>
      <c r="K22">
        <f t="shared" si="8"/>
        <v>7.7490774907749085</v>
      </c>
      <c r="L22">
        <f t="shared" si="8"/>
        <v>0</v>
      </c>
      <c r="M22">
        <f t="shared" si="8"/>
        <v>46.92144373673036</v>
      </c>
      <c r="N22">
        <f t="shared" si="8"/>
        <v>11.8895966029724</v>
      </c>
      <c r="O22">
        <f t="shared" si="8"/>
        <v>0</v>
      </c>
      <c r="P22">
        <f t="shared" si="8"/>
        <v>27.446140035906641</v>
      </c>
      <c r="Q22">
        <f t="shared" si="8"/>
        <v>15.888689407540395</v>
      </c>
      <c r="T22" s="3" t="s">
        <v>12</v>
      </c>
      <c r="U22" s="3" t="s">
        <v>13</v>
      </c>
      <c r="V22" s="3" t="s">
        <v>14</v>
      </c>
      <c r="W22" s="3" t="s">
        <v>15</v>
      </c>
      <c r="X22" s="3" t="s">
        <v>16</v>
      </c>
      <c r="AI22">
        <v>2</v>
      </c>
      <c r="AJ22">
        <f>11/386</f>
        <v>2.8497409326424871E-2</v>
      </c>
      <c r="AK22">
        <f>272/386</f>
        <v>0.70466321243523311</v>
      </c>
      <c r="AL22">
        <f>20/386</f>
        <v>5.181347150259067E-2</v>
      </c>
      <c r="AM22">
        <f>48/699</f>
        <v>6.8669527896995708E-2</v>
      </c>
      <c r="AN22">
        <f>540/699</f>
        <v>0.77253218884120167</v>
      </c>
      <c r="AO22">
        <f>45/699</f>
        <v>6.4377682403433473E-2</v>
      </c>
      <c r="AP22">
        <f>29/1355</f>
        <v>2.1402214022140223E-2</v>
      </c>
      <c r="AQ22">
        <f>860/1355</f>
        <v>0.63468634686346859</v>
      </c>
      <c r="AR22">
        <f>105/1355</f>
        <v>7.7490774907749083E-2</v>
      </c>
      <c r="AS22">
        <f>0/2355</f>
        <v>0</v>
      </c>
      <c r="AT22">
        <f>1105/2355</f>
        <v>0.46921443736730362</v>
      </c>
      <c r="AU22">
        <f>280/2355</f>
        <v>0.11889596602972399</v>
      </c>
      <c r="AV22">
        <f>0/4456</f>
        <v>0</v>
      </c>
      <c r="AW22">
        <f>1223/4456</f>
        <v>0.27446140035906641</v>
      </c>
      <c r="AX22">
        <f>708/4456</f>
        <v>0.15888689407540396</v>
      </c>
    </row>
    <row r="23" spans="2:50">
      <c r="B23">
        <v>3</v>
      </c>
      <c r="C23">
        <f t="shared" si="9"/>
        <v>5.6692913385826769</v>
      </c>
      <c r="D23">
        <f t="shared" si="8"/>
        <v>78.425196850393704</v>
      </c>
      <c r="E23">
        <f t="shared" si="8"/>
        <v>6.1417322834645667</v>
      </c>
      <c r="F23">
        <f t="shared" si="8"/>
        <v>3.4972677595628414</v>
      </c>
      <c r="G23">
        <f t="shared" si="8"/>
        <v>87.21311475409837</v>
      </c>
      <c r="H23">
        <f t="shared" si="8"/>
        <v>5.2459016393442619</v>
      </c>
      <c r="I23">
        <f t="shared" si="8"/>
        <v>2.5751072961373391</v>
      </c>
      <c r="J23">
        <f t="shared" si="8"/>
        <v>71.459227467811161</v>
      </c>
      <c r="K23">
        <f t="shared" si="8"/>
        <v>4.8640915593705296</v>
      </c>
      <c r="L23">
        <f t="shared" si="8"/>
        <v>4.5495905368516838E-2</v>
      </c>
      <c r="M23">
        <f t="shared" si="8"/>
        <v>51.091901728844405</v>
      </c>
      <c r="N23">
        <f t="shared" si="8"/>
        <v>8.9171974522292992</v>
      </c>
      <c r="O23">
        <f t="shared" si="8"/>
        <v>0</v>
      </c>
      <c r="P23">
        <f t="shared" si="8"/>
        <v>29.805914972273566</v>
      </c>
      <c r="Q23">
        <f t="shared" si="8"/>
        <v>15.157116451016636</v>
      </c>
      <c r="S23" s="1" t="s">
        <v>0</v>
      </c>
      <c r="T23">
        <v>3.7999999999999999E-2</v>
      </c>
      <c r="U23">
        <v>4.9700000000000001E-2</v>
      </c>
      <c r="V23">
        <v>2.8000000000000001E-2</v>
      </c>
      <c r="W23">
        <v>0</v>
      </c>
      <c r="X23">
        <v>0</v>
      </c>
      <c r="AI23">
        <v>3</v>
      </c>
      <c r="AJ23">
        <f>36/635</f>
        <v>5.6692913385826771E-2</v>
      </c>
      <c r="AK23">
        <f>498/635</f>
        <v>0.78425196850393697</v>
      </c>
      <c r="AL23">
        <f>39/635</f>
        <v>6.1417322834645668E-2</v>
      </c>
      <c r="AM23">
        <f>32/915</f>
        <v>3.4972677595628415E-2</v>
      </c>
      <c r="AN23">
        <f>798/915</f>
        <v>0.87213114754098364</v>
      </c>
      <c r="AO23">
        <f>48/915</f>
        <v>5.2459016393442623E-2</v>
      </c>
      <c r="AP23">
        <f>36/1398</f>
        <v>2.575107296137339E-2</v>
      </c>
      <c r="AQ23">
        <f>999/1398</f>
        <v>0.71459227467811159</v>
      </c>
      <c r="AR23">
        <f>68/1398</f>
        <v>4.8640915593705293E-2</v>
      </c>
      <c r="AS23">
        <f>1/2198</f>
        <v>4.5495905368516835E-4</v>
      </c>
      <c r="AT23">
        <f>1123/2198</f>
        <v>0.51091901728844402</v>
      </c>
      <c r="AU23">
        <f>196/2198</f>
        <v>8.9171974522292988E-2</v>
      </c>
      <c r="AV23">
        <f>0/4328</f>
        <v>0</v>
      </c>
      <c r="AW23">
        <f>1290/4328</f>
        <v>0.29805914972273567</v>
      </c>
      <c r="AX23">
        <f>656/4328</f>
        <v>0.15157116451016636</v>
      </c>
    </row>
    <row r="24" spans="2:50">
      <c r="B24">
        <v>4</v>
      </c>
      <c r="C24">
        <f t="shared" si="9"/>
        <v>2.6490066225165565</v>
      </c>
      <c r="D24">
        <f t="shared" si="8"/>
        <v>88.300220750551873</v>
      </c>
      <c r="E24">
        <f t="shared" si="8"/>
        <v>2.2075055187637971</v>
      </c>
      <c r="F24">
        <f t="shared" si="8"/>
        <v>5.4200542005420056</v>
      </c>
      <c r="G24">
        <f t="shared" si="8"/>
        <v>82.384823848238483</v>
      </c>
      <c r="H24">
        <f t="shared" si="8"/>
        <v>8.1300813008130071</v>
      </c>
      <c r="I24">
        <f t="shared" si="8"/>
        <v>3.263403263403263</v>
      </c>
      <c r="J24">
        <f t="shared" si="8"/>
        <v>62.781662781662781</v>
      </c>
      <c r="K24">
        <f t="shared" si="8"/>
        <v>5.439005439005439</v>
      </c>
      <c r="L24">
        <f t="shared" si="8"/>
        <v>0</v>
      </c>
      <c r="M24">
        <f t="shared" si="8"/>
        <v>48.260869565217391</v>
      </c>
      <c r="N24">
        <f t="shared" si="8"/>
        <v>10.671936758893279</v>
      </c>
      <c r="O24">
        <f t="shared" si="8"/>
        <v>0</v>
      </c>
      <c r="P24">
        <f t="shared" si="8"/>
        <v>27.584085315832652</v>
      </c>
      <c r="Q24">
        <f t="shared" si="8"/>
        <v>16.181296144380639</v>
      </c>
      <c r="S24" s="1" t="s">
        <v>1</v>
      </c>
      <c r="T24">
        <v>0.82899999999999996</v>
      </c>
      <c r="U24">
        <v>0.79849999999999999</v>
      </c>
      <c r="V24">
        <v>0.63500000000000001</v>
      </c>
      <c r="W24">
        <v>0.50600000000000001</v>
      </c>
      <c r="X24">
        <v>0.309</v>
      </c>
      <c r="AI24">
        <v>4</v>
      </c>
      <c r="AJ24">
        <f>12/453</f>
        <v>2.6490066225165563E-2</v>
      </c>
      <c r="AK24">
        <f>400/453</f>
        <v>0.88300220750551872</v>
      </c>
      <c r="AL24">
        <f>10/453</f>
        <v>2.2075055187637971E-2</v>
      </c>
      <c r="AM24">
        <f>40/738</f>
        <v>5.4200542005420058E-2</v>
      </c>
      <c r="AN24">
        <f>608/738</f>
        <v>0.82384823848238486</v>
      </c>
      <c r="AO24">
        <f>60/738</f>
        <v>8.1300813008130079E-2</v>
      </c>
      <c r="AP24">
        <f>42/1287</f>
        <v>3.2634032634032632E-2</v>
      </c>
      <c r="AQ24">
        <f>808/1287</f>
        <v>0.62781662781662784</v>
      </c>
      <c r="AR24">
        <f>70/1287</f>
        <v>5.4390054390054392E-2</v>
      </c>
      <c r="AS24">
        <f>0/2530</f>
        <v>0</v>
      </c>
      <c r="AT24">
        <f>1221/2530</f>
        <v>0.4826086956521739</v>
      </c>
      <c r="AU24">
        <f>270/2530</f>
        <v>0.1067193675889328</v>
      </c>
      <c r="AV24">
        <f>0/1287</f>
        <v>0</v>
      </c>
      <c r="AW24">
        <f>1345/4876</f>
        <v>0.27584085315832652</v>
      </c>
      <c r="AX24">
        <f>789/4876</f>
        <v>0.16181296144380639</v>
      </c>
    </row>
    <row r="25" spans="2:50">
      <c r="B25">
        <v>5</v>
      </c>
      <c r="C25">
        <f t="shared" si="9"/>
        <v>4.4117647058823533</v>
      </c>
      <c r="D25">
        <f t="shared" si="8"/>
        <v>77.205882352941174</v>
      </c>
      <c r="E25">
        <f t="shared" si="8"/>
        <v>5.6372549019607847</v>
      </c>
      <c r="F25">
        <f t="shared" si="8"/>
        <v>3.9745627980922098</v>
      </c>
      <c r="G25">
        <f t="shared" si="8"/>
        <v>77.424483306836251</v>
      </c>
      <c r="H25">
        <f t="shared" si="8"/>
        <v>4.6104928457869638</v>
      </c>
      <c r="I25">
        <f t="shared" si="8"/>
        <v>2.8067885117493474</v>
      </c>
      <c r="J25">
        <f t="shared" si="8"/>
        <v>60.248041775456919</v>
      </c>
      <c r="K25">
        <f t="shared" si="8"/>
        <v>8.3550913838120113</v>
      </c>
      <c r="L25">
        <f t="shared" si="8"/>
        <v>9.0579710144927536E-2</v>
      </c>
      <c r="M25">
        <f t="shared" si="8"/>
        <v>55.253623188405797</v>
      </c>
      <c r="N25">
        <f t="shared" si="8"/>
        <v>10.190217391304348</v>
      </c>
      <c r="O25">
        <f t="shared" si="8"/>
        <v>0</v>
      </c>
      <c r="P25">
        <f t="shared" si="8"/>
        <v>32.019938286256824</v>
      </c>
      <c r="Q25">
        <f t="shared" si="8"/>
        <v>14.170424875385713</v>
      </c>
      <c r="S25" s="1" t="s">
        <v>2</v>
      </c>
      <c r="T25">
        <v>4.4699999999999997E-2</v>
      </c>
      <c r="U25">
        <v>6.2E-2</v>
      </c>
      <c r="V25">
        <v>6.6000000000000003E-2</v>
      </c>
      <c r="W25">
        <v>0.105</v>
      </c>
      <c r="X25">
        <v>0.16700000000000001</v>
      </c>
      <c r="AI25">
        <v>5</v>
      </c>
      <c r="AJ25">
        <f>18/408</f>
        <v>4.4117647058823532E-2</v>
      </c>
      <c r="AK25">
        <f>315/408</f>
        <v>0.7720588235294118</v>
      </c>
      <c r="AL25">
        <f>23/408</f>
        <v>5.6372549019607844E-2</v>
      </c>
      <c r="AM25">
        <f>25/629</f>
        <v>3.9745627980922099E-2</v>
      </c>
      <c r="AN25">
        <f>487/629</f>
        <v>0.77424483306836245</v>
      </c>
      <c r="AO25">
        <f>29/629</f>
        <v>4.6104928457869634E-2</v>
      </c>
      <c r="AP25">
        <f>43/1532</f>
        <v>2.8067885117493474E-2</v>
      </c>
      <c r="AQ25">
        <f>923/1532</f>
        <v>0.60248041775456918</v>
      </c>
      <c r="AR25">
        <f>128/1532</f>
        <v>8.3550913838120106E-2</v>
      </c>
      <c r="AS25">
        <f>2/2208</f>
        <v>9.0579710144927537E-4</v>
      </c>
      <c r="AT25">
        <f>1220/2208</f>
        <v>0.55253623188405798</v>
      </c>
      <c r="AU25">
        <f>225/2208</f>
        <v>0.10190217391304347</v>
      </c>
      <c r="AV25">
        <f>0/4213</f>
        <v>0</v>
      </c>
      <c r="AW25">
        <f>1349/4213</f>
        <v>0.32019938286256822</v>
      </c>
      <c r="AX25">
        <f>597/4213</f>
        <v>0.14170424875385712</v>
      </c>
    </row>
    <row r="26" spans="2:50">
      <c r="B26">
        <v>6</v>
      </c>
      <c r="C26">
        <f t="shared" si="9"/>
        <v>4.2596348884381339</v>
      </c>
      <c r="D26">
        <f t="shared" si="8"/>
        <v>83.975659229208915</v>
      </c>
      <c r="E26">
        <f t="shared" si="8"/>
        <v>5.8823529411764701</v>
      </c>
      <c r="F26">
        <f t="shared" si="8"/>
        <v>7.2340425531914887</v>
      </c>
      <c r="G26">
        <f t="shared" si="8"/>
        <v>77.304964539007088</v>
      </c>
      <c r="H26">
        <f t="shared" si="8"/>
        <v>4.6808510638297873</v>
      </c>
      <c r="I26">
        <f t="shared" si="8"/>
        <v>1.6166281755196306</v>
      </c>
      <c r="J26">
        <f t="shared" si="8"/>
        <v>61.508852963818313</v>
      </c>
      <c r="K26">
        <f t="shared" si="8"/>
        <v>6.7744418783679743</v>
      </c>
      <c r="L26">
        <f t="shared" si="8"/>
        <v>0</v>
      </c>
      <c r="M26">
        <f t="shared" si="8"/>
        <v>53.541357107478952</v>
      </c>
      <c r="N26">
        <f t="shared" si="8"/>
        <v>5.3987122337790989</v>
      </c>
      <c r="O26">
        <f t="shared" si="8"/>
        <v>0</v>
      </c>
      <c r="P26">
        <f t="shared" si="8"/>
        <v>25.117036433950744</v>
      </c>
      <c r="Q26">
        <f t="shared" si="8"/>
        <v>16.466517402808876</v>
      </c>
      <c r="AI26">
        <v>6</v>
      </c>
      <c r="AJ26">
        <f>21/493</f>
        <v>4.2596348884381338E-2</v>
      </c>
      <c r="AK26">
        <f>414/493</f>
        <v>0.83975659229208921</v>
      </c>
      <c r="AL26">
        <f>29/493</f>
        <v>5.8823529411764705E-2</v>
      </c>
      <c r="AM26">
        <f>51/705</f>
        <v>7.2340425531914887E-2</v>
      </c>
      <c r="AN26">
        <f>545/705</f>
        <v>0.77304964539007093</v>
      </c>
      <c r="AO26">
        <f>33/705</f>
        <v>4.6808510638297871E-2</v>
      </c>
      <c r="AP26">
        <f>21/1299</f>
        <v>1.6166281755196306E-2</v>
      </c>
      <c r="AQ26">
        <f>799/1299</f>
        <v>0.61508852963818317</v>
      </c>
      <c r="AR26">
        <f>88/1299</f>
        <v>6.7744418783679747E-2</v>
      </c>
      <c r="AS26">
        <f>0/2019</f>
        <v>0</v>
      </c>
      <c r="AT26">
        <f>1081/2019</f>
        <v>0.53541357107478948</v>
      </c>
      <c r="AU26">
        <f>109/2019</f>
        <v>5.3987122337790988E-2</v>
      </c>
      <c r="AV26">
        <f>0/4913</f>
        <v>0</v>
      </c>
      <c r="AW26">
        <f>1234/4913</f>
        <v>0.25117036433950746</v>
      </c>
      <c r="AX26">
        <f>809/4913</f>
        <v>0.16466517402808875</v>
      </c>
    </row>
    <row r="27" spans="2:50">
      <c r="B27">
        <v>7</v>
      </c>
      <c r="C27">
        <f t="shared" si="9"/>
        <v>4.8903878583473865</v>
      </c>
      <c r="D27">
        <f t="shared" si="8"/>
        <v>89.881956155143342</v>
      </c>
      <c r="E27">
        <f t="shared" si="8"/>
        <v>4.0472175379426645</v>
      </c>
      <c r="F27">
        <f t="shared" si="8"/>
        <v>4.5588235294117645</v>
      </c>
      <c r="G27">
        <f t="shared" si="8"/>
        <v>75.294117647058826</v>
      </c>
      <c r="H27">
        <f t="shared" si="8"/>
        <v>3.6764705882352944</v>
      </c>
      <c r="I27">
        <f t="shared" si="8"/>
        <v>2.3255813953488373</v>
      </c>
      <c r="J27">
        <f t="shared" si="8"/>
        <v>58.974358974358978</v>
      </c>
      <c r="K27">
        <f t="shared" si="8"/>
        <v>7.7519379844961236</v>
      </c>
      <c r="L27">
        <f t="shared" si="8"/>
        <v>0</v>
      </c>
      <c r="M27">
        <f t="shared" si="8"/>
        <v>48.778501628664493</v>
      </c>
      <c r="N27">
        <f t="shared" si="8"/>
        <v>10.17915309446254</v>
      </c>
      <c r="O27">
        <f t="shared" si="8"/>
        <v>0</v>
      </c>
      <c r="P27">
        <f t="shared" si="8"/>
        <v>35.708908406524465</v>
      </c>
      <c r="Q27">
        <f t="shared" si="8"/>
        <v>18.017565872020075</v>
      </c>
      <c r="T27" s="3" t="s">
        <v>12</v>
      </c>
      <c r="U27" s="3" t="s">
        <v>13</v>
      </c>
      <c r="V27" s="3" t="s">
        <v>14</v>
      </c>
      <c r="W27" s="3" t="s">
        <v>15</v>
      </c>
      <c r="X27" s="3" t="s">
        <v>16</v>
      </c>
      <c r="AI27">
        <v>7</v>
      </c>
      <c r="AJ27">
        <f>29/593</f>
        <v>4.8903878583473864E-2</v>
      </c>
      <c r="AK27">
        <f>533/593</f>
        <v>0.89881956155143339</v>
      </c>
      <c r="AL27">
        <f>24/593</f>
        <v>4.0472175379426642E-2</v>
      </c>
      <c r="AM27">
        <f>31/680</f>
        <v>4.5588235294117645E-2</v>
      </c>
      <c r="AN27">
        <f>512/680</f>
        <v>0.75294117647058822</v>
      </c>
      <c r="AO27">
        <f>25/680</f>
        <v>3.6764705882352942E-2</v>
      </c>
      <c r="AP27">
        <f>39/1677</f>
        <v>2.3255813953488372E-2</v>
      </c>
      <c r="AQ27">
        <f>989/1677</f>
        <v>0.58974358974358976</v>
      </c>
      <c r="AR27">
        <f>130/1677</f>
        <v>7.7519379844961239E-2</v>
      </c>
      <c r="AS27">
        <f>0/2456</f>
        <v>0</v>
      </c>
      <c r="AT27">
        <f>1198/2456</f>
        <v>0.48778501628664495</v>
      </c>
      <c r="AU27">
        <f>250/2456</f>
        <v>0.10179153094462541</v>
      </c>
      <c r="AV27">
        <f>0/3985</f>
        <v>0</v>
      </c>
      <c r="AW27">
        <f>1423/3985</f>
        <v>0.35708908406524464</v>
      </c>
      <c r="AX27">
        <f>718/3985</f>
        <v>0.18017565872020075</v>
      </c>
    </row>
    <row r="28" spans="2:50">
      <c r="B28">
        <v>8</v>
      </c>
      <c r="C28">
        <f t="shared" si="9"/>
        <v>2.3136246786632388</v>
      </c>
      <c r="D28">
        <f t="shared" si="8"/>
        <v>86.632390745501283</v>
      </c>
      <c r="E28">
        <f t="shared" si="8"/>
        <v>4.6272493573264777</v>
      </c>
      <c r="F28">
        <f t="shared" si="8"/>
        <v>3.8727524204702628</v>
      </c>
      <c r="G28">
        <f t="shared" si="8"/>
        <v>82.710926694329174</v>
      </c>
      <c r="H28">
        <f t="shared" si="8"/>
        <v>6.6390041493775938</v>
      </c>
      <c r="I28">
        <f t="shared" si="8"/>
        <v>3.7106918238993711</v>
      </c>
      <c r="J28">
        <f t="shared" si="8"/>
        <v>60.880503144654085</v>
      </c>
      <c r="K28">
        <f t="shared" si="8"/>
        <v>8.8050314465408803</v>
      </c>
      <c r="L28">
        <f t="shared" si="8"/>
        <v>0</v>
      </c>
      <c r="M28">
        <f t="shared" si="8"/>
        <v>45.464247598719318</v>
      </c>
      <c r="N28">
        <f t="shared" si="8"/>
        <v>10.63678406261117</v>
      </c>
      <c r="O28">
        <f t="shared" si="8"/>
        <v>0</v>
      </c>
      <c r="P28">
        <f t="shared" si="8"/>
        <v>38.178955654683811</v>
      </c>
      <c r="Q28">
        <f t="shared" si="8"/>
        <v>21.306743636840725</v>
      </c>
      <c r="S28" s="1" t="s">
        <v>0</v>
      </c>
      <c r="T28">
        <v>1.1629470484024594E-2</v>
      </c>
      <c r="U28">
        <v>1.3335571661820081E-2</v>
      </c>
      <c r="V28">
        <v>6.8484841764300426E-3</v>
      </c>
      <c r="W28">
        <v>0</v>
      </c>
      <c r="X28">
        <v>0</v>
      </c>
      <c r="AI28">
        <v>8</v>
      </c>
      <c r="AJ28">
        <f>9/389</f>
        <v>2.313624678663239E-2</v>
      </c>
      <c r="AK28">
        <f>337/389</f>
        <v>0.86632390745501286</v>
      </c>
      <c r="AL28">
        <f>18/389</f>
        <v>4.6272493573264781E-2</v>
      </c>
      <c r="AM28">
        <f>28/723</f>
        <v>3.8727524204702629E-2</v>
      </c>
      <c r="AN28">
        <f>598/723</f>
        <v>0.82710926694329179</v>
      </c>
      <c r="AO28">
        <f>48/723</f>
        <v>6.6390041493775934E-2</v>
      </c>
      <c r="AP28">
        <f>59/1590</f>
        <v>3.7106918238993709E-2</v>
      </c>
      <c r="AQ28">
        <f>968/1590</f>
        <v>0.60880503144654086</v>
      </c>
      <c r="AR28">
        <f>140/1590</f>
        <v>8.8050314465408799E-2</v>
      </c>
      <c r="AS28">
        <f>0/2811</f>
        <v>0</v>
      </c>
      <c r="AT28">
        <f>1278/2811</f>
        <v>0.45464247598719315</v>
      </c>
      <c r="AU28">
        <f>299/2811</f>
        <v>0.10636784062611171</v>
      </c>
      <c r="AV28">
        <f>0/3811</f>
        <v>0</v>
      </c>
      <c r="AW28">
        <f>1455/3811</f>
        <v>0.3817895565468381</v>
      </c>
      <c r="AX28">
        <f>812/3811</f>
        <v>0.21306743636840725</v>
      </c>
    </row>
    <row r="29" spans="2:50">
      <c r="B29">
        <v>9</v>
      </c>
      <c r="C29">
        <f t="shared" si="9"/>
        <v>4.9145299145299148</v>
      </c>
      <c r="D29">
        <f t="shared" si="8"/>
        <v>89.957264957264954</v>
      </c>
      <c r="E29">
        <f t="shared" si="8"/>
        <v>4.4871794871794872</v>
      </c>
      <c r="F29">
        <f t="shared" si="8"/>
        <v>5.9888579387186631</v>
      </c>
      <c r="G29">
        <f t="shared" si="8"/>
        <v>80.083565459610028</v>
      </c>
      <c r="H29">
        <f t="shared" si="8"/>
        <v>7.5208913649025071</v>
      </c>
      <c r="I29">
        <f t="shared" si="8"/>
        <v>3.3861671469740631</v>
      </c>
      <c r="J29">
        <f t="shared" si="8"/>
        <v>58.789625360230545</v>
      </c>
      <c r="K29">
        <f t="shared" si="8"/>
        <v>4.3227665706051877</v>
      </c>
      <c r="L29">
        <f t="shared" si="8"/>
        <v>0</v>
      </c>
      <c r="M29">
        <f t="shared" si="8"/>
        <v>46.00903614457831</v>
      </c>
      <c r="N29">
        <f t="shared" si="8"/>
        <v>10.090361445783133</v>
      </c>
      <c r="O29">
        <f t="shared" si="8"/>
        <v>0</v>
      </c>
      <c r="P29">
        <f t="shared" si="8"/>
        <v>31.810650887573967</v>
      </c>
      <c r="Q29">
        <f t="shared" si="8"/>
        <v>15.526627218934911</v>
      </c>
      <c r="S29" s="1" t="s">
        <v>1</v>
      </c>
      <c r="T29">
        <v>6.972994195811992E-2</v>
      </c>
      <c r="U29">
        <v>3.5044300664682386E-2</v>
      </c>
      <c r="V29">
        <v>5.7287846580943901E-2</v>
      </c>
      <c r="W29">
        <v>4.0246107433036742E-2</v>
      </c>
      <c r="X29">
        <v>3.8981065533356327E-2</v>
      </c>
      <c r="AI29">
        <v>9</v>
      </c>
      <c r="AJ29">
        <f>23/468</f>
        <v>4.9145299145299144E-2</v>
      </c>
      <c r="AK29">
        <f>421/468</f>
        <v>0.8995726495726496</v>
      </c>
      <c r="AL29">
        <f>21/468</f>
        <v>4.4871794871794872E-2</v>
      </c>
      <c r="AM29">
        <f>43/718</f>
        <v>5.9888579387186627E-2</v>
      </c>
      <c r="AN29">
        <f>575/718</f>
        <v>0.80083565459610029</v>
      </c>
      <c r="AO29">
        <f>54/718</f>
        <v>7.5208913649025072E-2</v>
      </c>
      <c r="AP29">
        <f>47/1388</f>
        <v>3.3861671469740631E-2</v>
      </c>
      <c r="AQ29">
        <f>816/1388</f>
        <v>0.58789625360230546</v>
      </c>
      <c r="AR29">
        <f>60/1388</f>
        <v>4.3227665706051875E-2</v>
      </c>
      <c r="AS29">
        <f>0/2656</f>
        <v>0</v>
      </c>
      <c r="AT29">
        <f>1222/2656</f>
        <v>0.46009036144578314</v>
      </c>
      <c r="AU29">
        <f>268/2656</f>
        <v>0.10090361445783133</v>
      </c>
      <c r="AV29">
        <f>0/4225</f>
        <v>0</v>
      </c>
      <c r="AW29">
        <f>1344/4225</f>
        <v>0.31810650887573966</v>
      </c>
      <c r="AX29">
        <f>656/4225</f>
        <v>0.1552662721893491</v>
      </c>
    </row>
    <row r="30" spans="2:50">
      <c r="B30">
        <v>10</v>
      </c>
      <c r="C30">
        <f t="shared" si="9"/>
        <v>2.6845637583892619</v>
      </c>
      <c r="D30">
        <f t="shared" si="8"/>
        <v>88.814317673378071</v>
      </c>
      <c r="E30">
        <f t="shared" si="8"/>
        <v>2.4608501118568231</v>
      </c>
      <c r="F30">
        <f t="shared" si="8"/>
        <v>3.8615179760319571</v>
      </c>
      <c r="G30">
        <f t="shared" si="8"/>
        <v>80.29294274300932</v>
      </c>
      <c r="H30">
        <f t="shared" si="8"/>
        <v>8.5219707057256997</v>
      </c>
      <c r="I30">
        <f t="shared" si="8"/>
        <v>2.8789659224441833</v>
      </c>
      <c r="J30">
        <f t="shared" si="8"/>
        <v>76.145710928319616</v>
      </c>
      <c r="K30">
        <f t="shared" si="8"/>
        <v>5.346650998824912</v>
      </c>
      <c r="L30">
        <f t="shared" si="8"/>
        <v>4.7192071731949031E-2</v>
      </c>
      <c r="M30">
        <f t="shared" si="8"/>
        <v>53.940537989617745</v>
      </c>
      <c r="N30">
        <f t="shared" si="8"/>
        <v>13.732892873997168</v>
      </c>
      <c r="O30">
        <f t="shared" si="8"/>
        <v>2.4384296513045599E-2</v>
      </c>
      <c r="P30">
        <f t="shared" si="8"/>
        <v>29.919531821506951</v>
      </c>
      <c r="Q30">
        <f t="shared" si="8"/>
        <v>16.581321628871006</v>
      </c>
      <c r="S30" s="1" t="s">
        <v>2</v>
      </c>
      <c r="T30">
        <v>1.3409987641282605E-2</v>
      </c>
      <c r="U30">
        <v>1.6155658619307789E-2</v>
      </c>
      <c r="V30">
        <v>1.5551085181570057E-2</v>
      </c>
      <c r="W30">
        <v>2.3449974288034154E-2</v>
      </c>
      <c r="X30">
        <v>1.9752006841851105E-2</v>
      </c>
      <c r="AI30">
        <v>10</v>
      </c>
      <c r="AJ30">
        <f>12/447</f>
        <v>2.6845637583892617E-2</v>
      </c>
      <c r="AK30">
        <f>397/447</f>
        <v>0.88814317673378074</v>
      </c>
      <c r="AL30">
        <f>11/447</f>
        <v>2.4608501118568233E-2</v>
      </c>
      <c r="AM30">
        <f>29/751</f>
        <v>3.8615179760319571E-2</v>
      </c>
      <c r="AN30">
        <f>603/751</f>
        <v>0.80292942743009321</v>
      </c>
      <c r="AO30">
        <f>64/751</f>
        <v>8.5219707057256996E-2</v>
      </c>
      <c r="AP30">
        <f>49/1702</f>
        <v>2.8789659224441832E-2</v>
      </c>
      <c r="AQ30">
        <f>1296/1702</f>
        <v>0.76145710928319621</v>
      </c>
      <c r="AR30">
        <f>91/1702</f>
        <v>5.3466509988249117E-2</v>
      </c>
      <c r="AS30">
        <f>1/2119</f>
        <v>4.7192071731949034E-4</v>
      </c>
      <c r="AT30">
        <f>1143/2119</f>
        <v>0.53940537989617743</v>
      </c>
      <c r="AU30">
        <f>291/2119</f>
        <v>0.13732892873997168</v>
      </c>
      <c r="AV30">
        <f>1/4101</f>
        <v>2.43842965130456E-4</v>
      </c>
      <c r="AW30">
        <f>1227/4101</f>
        <v>0.29919531821506951</v>
      </c>
      <c r="AX30">
        <f>680/4101</f>
        <v>0.16581321628871007</v>
      </c>
    </row>
    <row r="31" spans="2:50">
      <c r="B31" s="2" t="s">
        <v>9</v>
      </c>
      <c r="C31">
        <f>AVERAGE(C21:C30)</f>
        <v>3.8449651296976781</v>
      </c>
      <c r="D31">
        <f t="shared" ref="D31:Q31" si="10">AVERAGE(D21:D30)</f>
        <v>82.929372772440416</v>
      </c>
      <c r="E31">
        <f t="shared" si="10"/>
        <v>4.4733602995513895</v>
      </c>
      <c r="F31">
        <f t="shared" si="10"/>
        <v>4.9716745405356297</v>
      </c>
      <c r="G31">
        <f t="shared" si="10"/>
        <v>79.854985719293637</v>
      </c>
      <c r="H31">
        <f t="shared" si="10"/>
        <v>6.2183249666012221</v>
      </c>
      <c r="I31">
        <f t="shared" si="10"/>
        <v>2.835714086461834</v>
      </c>
      <c r="J31">
        <f t="shared" si="10"/>
        <v>63.501439886750362</v>
      </c>
      <c r="K31">
        <f t="shared" si="10"/>
        <v>6.583569962324586</v>
      </c>
      <c r="L31">
        <f t="shared" si="10"/>
        <v>2.236228123462812E-2</v>
      </c>
      <c r="M31">
        <f t="shared" si="10"/>
        <v>50.571833870439889</v>
      </c>
      <c r="N31">
        <f t="shared" si="10"/>
        <v>10.506439832442631</v>
      </c>
      <c r="O31">
        <f t="shared" si="10"/>
        <v>2.43842965130456E-3</v>
      </c>
      <c r="P31">
        <f t="shared" si="10"/>
        <v>30.870968413364768</v>
      </c>
      <c r="Q31">
        <f t="shared" si="10"/>
        <v>16.699768796360708</v>
      </c>
      <c r="AI31" s="2" t="s">
        <v>9</v>
      </c>
      <c r="AJ31">
        <f>AVERAGE(AJ21:AJ30)</f>
        <v>3.8449651296976785E-2</v>
      </c>
      <c r="AK31">
        <f t="shared" ref="AK31:AX31" si="11">AVERAGE(AK21:AK30)</f>
        <v>0.82929372772440413</v>
      </c>
      <c r="AL31">
        <f t="shared" si="11"/>
        <v>4.4733602995513891E-2</v>
      </c>
      <c r="AM31">
        <f t="shared" si="11"/>
        <v>4.9716745405356297E-2</v>
      </c>
      <c r="AN31">
        <f t="shared" si="11"/>
        <v>0.79854985719293636</v>
      </c>
      <c r="AO31">
        <f t="shared" si="11"/>
        <v>6.2183249666012221E-2</v>
      </c>
      <c r="AP31">
        <f t="shared" si="11"/>
        <v>2.8357140864618335E-2</v>
      </c>
      <c r="AQ31">
        <f t="shared" si="11"/>
        <v>0.63501439886750355</v>
      </c>
      <c r="AR31">
        <f t="shared" si="11"/>
        <v>6.5835699623245855E-2</v>
      </c>
      <c r="AS31">
        <f t="shared" si="11"/>
        <v>2.2362281234628123E-4</v>
      </c>
      <c r="AT31">
        <f t="shared" si="11"/>
        <v>0.50571833870439875</v>
      </c>
      <c r="AU31">
        <f t="shared" si="11"/>
        <v>0.10506439832442631</v>
      </c>
      <c r="AV31">
        <f t="shared" si="11"/>
        <v>2.4384296513045598E-5</v>
      </c>
      <c r="AW31">
        <f t="shared" si="11"/>
        <v>0.30870968413364763</v>
      </c>
      <c r="AX31">
        <f t="shared" si="11"/>
        <v>0.16699768796360709</v>
      </c>
    </row>
    <row r="32" spans="2:50">
      <c r="B32" s="2" t="s">
        <v>10</v>
      </c>
      <c r="C32">
        <f>STDEV(C21:C30)</f>
        <v>1.1629470484024595</v>
      </c>
      <c r="D32">
        <f t="shared" ref="D32:Q32" si="12">STDEV(D21:D30)</f>
        <v>6.9729941958119861</v>
      </c>
      <c r="E32">
        <f t="shared" si="12"/>
        <v>1.3409987641282637</v>
      </c>
      <c r="F32">
        <f t="shared" si="12"/>
        <v>1.3335571661820103</v>
      </c>
      <c r="G32">
        <f t="shared" si="12"/>
        <v>3.5044300664682497</v>
      </c>
      <c r="H32">
        <f t="shared" si="12"/>
        <v>1.615565861930778</v>
      </c>
      <c r="I32">
        <f t="shared" si="12"/>
        <v>0.68484841764300197</v>
      </c>
      <c r="J32">
        <f t="shared" si="12"/>
        <v>5.7287846580943684</v>
      </c>
      <c r="K32">
        <f t="shared" si="12"/>
        <v>1.5551085181570015</v>
      </c>
      <c r="L32">
        <f t="shared" si="12"/>
        <v>3.184942495789253E-2</v>
      </c>
      <c r="M32">
        <f t="shared" si="12"/>
        <v>4.0246107433034677</v>
      </c>
      <c r="N32">
        <f t="shared" si="12"/>
        <v>2.3449974288034112</v>
      </c>
      <c r="O32">
        <f t="shared" si="12"/>
        <v>7.7109916122125805E-3</v>
      </c>
      <c r="P32">
        <f t="shared" si="12"/>
        <v>3.8981065533355892</v>
      </c>
      <c r="Q32">
        <f t="shared" si="12"/>
        <v>1.9752006841851235</v>
      </c>
      <c r="AI32" s="2" t="s">
        <v>10</v>
      </c>
      <c r="AJ32">
        <f>STDEV(AJ21:AJ30)</f>
        <v>1.1629470484024594E-2</v>
      </c>
      <c r="AK32">
        <f t="shared" ref="AK32:AX32" si="13">STDEV(AK21:AK30)</f>
        <v>6.972994195811992E-2</v>
      </c>
      <c r="AL32">
        <f t="shared" si="13"/>
        <v>1.3409987641282605E-2</v>
      </c>
      <c r="AM32">
        <f t="shared" si="13"/>
        <v>1.3335571661820081E-2</v>
      </c>
      <c r="AN32">
        <f t="shared" si="13"/>
        <v>3.5044300664682386E-2</v>
      </c>
      <c r="AO32">
        <f t="shared" si="13"/>
        <v>1.6155658619307789E-2</v>
      </c>
      <c r="AP32">
        <f t="shared" si="13"/>
        <v>6.8484841764300426E-3</v>
      </c>
      <c r="AQ32">
        <f t="shared" si="13"/>
        <v>5.7287846580943901E-2</v>
      </c>
      <c r="AR32">
        <f t="shared" si="13"/>
        <v>1.5551085181570057E-2</v>
      </c>
      <c r="AS32">
        <f t="shared" si="13"/>
        <v>3.1849424957892524E-4</v>
      </c>
      <c r="AT32">
        <f t="shared" si="13"/>
        <v>4.0246107433036742E-2</v>
      </c>
      <c r="AU32">
        <f t="shared" si="13"/>
        <v>2.3449974288034154E-2</v>
      </c>
      <c r="AV32">
        <f t="shared" si="13"/>
        <v>7.7109916122125802E-5</v>
      </c>
      <c r="AW32">
        <f t="shared" si="13"/>
        <v>3.8981065533356327E-2</v>
      </c>
      <c r="AX32">
        <f t="shared" si="13"/>
        <v>1.9752006841851105E-2</v>
      </c>
    </row>
    <row r="33" spans="2:50">
      <c r="B33" s="2" t="s">
        <v>11</v>
      </c>
      <c r="F33">
        <f>TTEST(F21:F30,C21:C30,2,3)</f>
        <v>5.9530948719621189E-2</v>
      </c>
      <c r="G33">
        <f>TTEST(G21:G30,D21:D30,2,3)</f>
        <v>0.23439102048032368</v>
      </c>
      <c r="H33">
        <f>TTEST(H21:H30,E21:E30,2,3)</f>
        <v>1.7382456386856978E-2</v>
      </c>
      <c r="I33">
        <f>TTEST(I21:I30,C21:C30,2,3)</f>
        <v>3.2386865197092073E-2</v>
      </c>
      <c r="J33">
        <f>TTEST(J21:J30,D21:D30,2,3)</f>
        <v>2.7398697423561832E-6</v>
      </c>
      <c r="K33">
        <f>TTEST(K21:K30,E21:E30,2,3)</f>
        <v>4.5454974528966602E-3</v>
      </c>
      <c r="M33">
        <f>TTEST(M21:M30,D21:D30,2,3)</f>
        <v>3.2080203586628421E-9</v>
      </c>
      <c r="N33">
        <f>TTEST(N21:N30,E21:E30,2,3)</f>
        <v>4.9990075575948087E-6</v>
      </c>
      <c r="P33">
        <f>TTEST(P21:P30,D21:D30,2,3)</f>
        <v>6.1168493292792599E-12</v>
      </c>
      <c r="Q33">
        <f>TTEST(Q21:Q30,E21:E30,2,3)</f>
        <v>2.8126749314474922E-11</v>
      </c>
      <c r="AI33" s="2" t="s">
        <v>11</v>
      </c>
      <c r="AM33">
        <f>TTEST(AM21:AM30,AJ21:AJ30,2,3)</f>
        <v>5.9530948719621141E-2</v>
      </c>
      <c r="AN33">
        <f>TTEST(AN21:AN30,AK21:AK30,2,3)</f>
        <v>0.23439102048032356</v>
      </c>
      <c r="AO33">
        <f>TTEST(AO21:AO30,AL21:AL30,2,3)</f>
        <v>1.7382456386856978E-2</v>
      </c>
      <c r="AP33">
        <f>TTEST(AP21:AP30,AJ21:AJ30,2,3)</f>
        <v>3.2386865197091878E-2</v>
      </c>
      <c r="AQ33">
        <f>TTEST(AQ21:AQ30,AK21:AK30,2,3)</f>
        <v>2.7398697423561934E-6</v>
      </c>
      <c r="AR33">
        <f>TTEST(AR21:AR30,AL21:AL30,2,3)</f>
        <v>4.5454974528966524E-3</v>
      </c>
      <c r="AT33">
        <f>TTEST(AT21:AT30,AK21:AK30,2,3)</f>
        <v>3.2080203586628429E-9</v>
      </c>
      <c r="AU33">
        <f>TTEST(AU21:AU30,AL21:AL30,2,3)</f>
        <v>4.9990075575947909E-6</v>
      </c>
      <c r="AW33">
        <f>TTEST(AW21:AW30,AK21:AK30,2,3)</f>
        <v>6.1168493292793488E-12</v>
      </c>
      <c r="AX33">
        <f>TTEST(AX21:AX30,AL21:AL30,2,3)</f>
        <v>2.8126749314474916E-11</v>
      </c>
    </row>
    <row r="35" spans="2:50" ht="17.25">
      <c r="B35" s="3" t="s">
        <v>20</v>
      </c>
      <c r="AI35" s="3" t="s">
        <v>41</v>
      </c>
    </row>
    <row r="36" spans="2:50">
      <c r="C36" s="12" t="s">
        <v>3</v>
      </c>
      <c r="D36" s="13"/>
      <c r="E36" s="13"/>
      <c r="F36" s="12" t="s">
        <v>4</v>
      </c>
      <c r="G36" s="13"/>
      <c r="H36" s="13"/>
      <c r="I36" s="12" t="s">
        <v>5</v>
      </c>
      <c r="J36" s="13"/>
      <c r="K36" s="13"/>
      <c r="L36" s="12" t="s">
        <v>6</v>
      </c>
      <c r="M36" s="13"/>
      <c r="N36" s="13"/>
      <c r="O36" s="12" t="s">
        <v>7</v>
      </c>
      <c r="P36" s="13"/>
      <c r="Q36" s="13"/>
      <c r="AJ36" s="12" t="s">
        <v>3</v>
      </c>
      <c r="AK36" s="13"/>
      <c r="AL36" s="13"/>
      <c r="AM36" s="12" t="s">
        <v>4</v>
      </c>
      <c r="AN36" s="13"/>
      <c r="AO36" s="13"/>
      <c r="AP36" s="12" t="s">
        <v>5</v>
      </c>
      <c r="AQ36" s="13"/>
      <c r="AR36" s="13"/>
      <c r="AS36" s="12" t="s">
        <v>6</v>
      </c>
      <c r="AT36" s="13"/>
      <c r="AU36" s="13"/>
      <c r="AV36" s="12" t="s">
        <v>7</v>
      </c>
      <c r="AW36" s="13"/>
      <c r="AX36" s="13"/>
    </row>
    <row r="37" spans="2:50">
      <c r="B37" t="s">
        <v>8</v>
      </c>
      <c r="C37" s="1" t="s">
        <v>0</v>
      </c>
      <c r="D37" s="1" t="s">
        <v>1</v>
      </c>
      <c r="E37" s="1" t="s">
        <v>2</v>
      </c>
      <c r="F37" s="1" t="s">
        <v>0</v>
      </c>
      <c r="G37" s="1" t="s">
        <v>1</v>
      </c>
      <c r="H37" s="1" t="s">
        <v>2</v>
      </c>
      <c r="I37" s="1" t="s">
        <v>0</v>
      </c>
      <c r="J37" s="1" t="s">
        <v>1</v>
      </c>
      <c r="K37" s="1" t="s">
        <v>2</v>
      </c>
      <c r="L37" s="1" t="s">
        <v>0</v>
      </c>
      <c r="M37" s="1" t="s">
        <v>1</v>
      </c>
      <c r="N37" s="1" t="s">
        <v>2</v>
      </c>
      <c r="O37" s="1" t="s">
        <v>0</v>
      </c>
      <c r="P37" s="1" t="s">
        <v>1</v>
      </c>
      <c r="Q37" s="1" t="s">
        <v>2</v>
      </c>
      <c r="AI37" t="s">
        <v>8</v>
      </c>
      <c r="AJ37" s="1" t="s">
        <v>0</v>
      </c>
      <c r="AK37" s="1" t="s">
        <v>1</v>
      </c>
      <c r="AL37" s="1" t="s">
        <v>2</v>
      </c>
      <c r="AM37" s="1" t="s">
        <v>0</v>
      </c>
      <c r="AN37" s="1" t="s">
        <v>1</v>
      </c>
      <c r="AO37" s="1" t="s">
        <v>2</v>
      </c>
      <c r="AP37" s="1" t="s">
        <v>0</v>
      </c>
      <c r="AQ37" s="1" t="s">
        <v>1</v>
      </c>
      <c r="AR37" s="1" t="s">
        <v>2</v>
      </c>
      <c r="AS37" s="1" t="s">
        <v>0</v>
      </c>
      <c r="AT37" s="1" t="s">
        <v>1</v>
      </c>
      <c r="AU37" s="1" t="s">
        <v>2</v>
      </c>
      <c r="AV37" s="1" t="s">
        <v>0</v>
      </c>
      <c r="AW37" s="1" t="s">
        <v>1</v>
      </c>
      <c r="AX37" s="1" t="s">
        <v>2</v>
      </c>
    </row>
    <row r="38" spans="2:50">
      <c r="B38">
        <v>1</v>
      </c>
      <c r="C38">
        <f>AJ38*100</f>
        <v>6.4766839378238332</v>
      </c>
      <c r="D38">
        <f t="shared" ref="D38:Q47" si="14">AK38*100</f>
        <v>82.642487046632127</v>
      </c>
      <c r="E38">
        <f t="shared" si="14"/>
        <v>1.2953367875647668</v>
      </c>
      <c r="F38">
        <f t="shared" si="14"/>
        <v>3.8293216630196936</v>
      </c>
      <c r="G38">
        <f t="shared" si="14"/>
        <v>87.417943107221006</v>
      </c>
      <c r="H38">
        <f t="shared" si="14"/>
        <v>7.3304157549234139</v>
      </c>
      <c r="I38">
        <f t="shared" si="14"/>
        <v>0.59259259259259256</v>
      </c>
      <c r="J38">
        <f t="shared" si="14"/>
        <v>88.740740740740748</v>
      </c>
      <c r="K38">
        <f t="shared" si="14"/>
        <v>4.1481481481481479</v>
      </c>
      <c r="L38">
        <f t="shared" si="14"/>
        <v>3.8610038610038609E-2</v>
      </c>
      <c r="M38">
        <f t="shared" si="14"/>
        <v>84.86486486486487</v>
      </c>
      <c r="N38">
        <f t="shared" si="14"/>
        <v>7.9150579150579148</v>
      </c>
      <c r="O38">
        <f t="shared" si="14"/>
        <v>0</v>
      </c>
      <c r="P38">
        <f t="shared" si="14"/>
        <v>73.746835443037966</v>
      </c>
      <c r="Q38">
        <f t="shared" si="14"/>
        <v>12.151898734177214</v>
      </c>
      <c r="T38" s="3" t="s">
        <v>12</v>
      </c>
      <c r="U38" s="3" t="s">
        <v>13</v>
      </c>
      <c r="V38" s="3" t="s">
        <v>14</v>
      </c>
      <c r="W38" s="3" t="s">
        <v>15</v>
      </c>
      <c r="X38" s="3" t="s">
        <v>16</v>
      </c>
      <c r="AI38">
        <v>1</v>
      </c>
      <c r="AJ38">
        <f>25/386</f>
        <v>6.4766839378238336E-2</v>
      </c>
      <c r="AK38">
        <f>319/386</f>
        <v>0.82642487046632129</v>
      </c>
      <c r="AL38">
        <f>5/386</f>
        <v>1.2953367875647668E-2</v>
      </c>
      <c r="AM38">
        <f>35/914</f>
        <v>3.8293216630196934E-2</v>
      </c>
      <c r="AN38">
        <f>799/914</f>
        <v>0.87417943107221008</v>
      </c>
      <c r="AO38">
        <f>67/914</f>
        <v>7.3304157549234139E-2</v>
      </c>
      <c r="AP38">
        <f>8/1350</f>
        <v>5.9259259259259256E-3</v>
      </c>
      <c r="AQ38">
        <f>1198/1350</f>
        <v>0.88740740740740742</v>
      </c>
      <c r="AR38">
        <f>56/1350</f>
        <v>4.148148148148148E-2</v>
      </c>
      <c r="AS38">
        <f>1/2590</f>
        <v>3.861003861003861E-4</v>
      </c>
      <c r="AT38">
        <f>2198/2590</f>
        <v>0.84864864864864864</v>
      </c>
      <c r="AU38">
        <f>205/2590</f>
        <v>7.9150579150579145E-2</v>
      </c>
      <c r="AV38">
        <f>0/3950</f>
        <v>0</v>
      </c>
      <c r="AW38">
        <f>2913/3950</f>
        <v>0.73746835443037972</v>
      </c>
      <c r="AX38">
        <f>480/3950</f>
        <v>0.12151898734177215</v>
      </c>
    </row>
    <row r="39" spans="2:50">
      <c r="B39">
        <v>2</v>
      </c>
      <c r="C39">
        <f t="shared" ref="C39:C47" si="15">AJ39*100</f>
        <v>4.3478260869565215</v>
      </c>
      <c r="D39">
        <f t="shared" si="14"/>
        <v>81.40096618357488</v>
      </c>
      <c r="E39">
        <f t="shared" si="14"/>
        <v>1.4492753623188406</v>
      </c>
      <c r="F39">
        <f t="shared" si="14"/>
        <v>4.6272493573264777</v>
      </c>
      <c r="G39">
        <f t="shared" si="14"/>
        <v>87.40359897172236</v>
      </c>
      <c r="H39">
        <f t="shared" si="14"/>
        <v>7.5835475578406166</v>
      </c>
      <c r="I39">
        <f t="shared" si="14"/>
        <v>0.80536912751677858</v>
      </c>
      <c r="J39">
        <f t="shared" si="14"/>
        <v>85.90604026845638</v>
      </c>
      <c r="K39">
        <f t="shared" si="14"/>
        <v>1.6778523489932886</v>
      </c>
      <c r="L39">
        <f t="shared" si="14"/>
        <v>0</v>
      </c>
      <c r="M39">
        <f t="shared" si="14"/>
        <v>80.313784086664171</v>
      </c>
      <c r="N39">
        <f t="shared" si="14"/>
        <v>7.0974971983563684</v>
      </c>
      <c r="O39">
        <f t="shared" si="14"/>
        <v>0</v>
      </c>
      <c r="P39">
        <f t="shared" si="14"/>
        <v>77.887029288702919</v>
      </c>
      <c r="Q39">
        <f t="shared" si="14"/>
        <v>8.535564853556485</v>
      </c>
      <c r="S39" s="1" t="s">
        <v>0</v>
      </c>
      <c r="T39">
        <v>5.3431843134047141E-2</v>
      </c>
      <c r="U39">
        <v>4.0008754044423105E-2</v>
      </c>
      <c r="V39">
        <v>1.1113044364910526E-2</v>
      </c>
      <c r="W39">
        <v>1.2152877824519616E-4</v>
      </c>
      <c r="X39">
        <v>0</v>
      </c>
      <c r="AI39">
        <v>2</v>
      </c>
      <c r="AJ39">
        <f>18/414</f>
        <v>4.3478260869565216E-2</v>
      </c>
      <c r="AK39">
        <f>337/414</f>
        <v>0.81400966183574874</v>
      </c>
      <c r="AL39">
        <f>6/414</f>
        <v>1.4492753623188406E-2</v>
      </c>
      <c r="AM39">
        <f>36/778</f>
        <v>4.6272493573264781E-2</v>
      </c>
      <c r="AN39">
        <f>680/778</f>
        <v>0.87403598971722363</v>
      </c>
      <c r="AO39">
        <f>59/778</f>
        <v>7.583547557840617E-2</v>
      </c>
      <c r="AP39">
        <f>12/1490</f>
        <v>8.0536912751677861E-3</v>
      </c>
      <c r="AQ39">
        <f>1280/1490</f>
        <v>0.85906040268456374</v>
      </c>
      <c r="AR39">
        <f>25/1490</f>
        <v>1.6778523489932886E-2</v>
      </c>
      <c r="AS39">
        <f>0/2677</f>
        <v>0</v>
      </c>
      <c r="AT39">
        <f>2150/2677</f>
        <v>0.80313784086664175</v>
      </c>
      <c r="AU39">
        <f>190/2677</f>
        <v>7.0974971983563687E-2</v>
      </c>
      <c r="AV39">
        <f>0/4780</f>
        <v>0</v>
      </c>
      <c r="AW39">
        <f>3723/4780</f>
        <v>0.77887029288702925</v>
      </c>
      <c r="AX39">
        <f>408/4780</f>
        <v>8.5355648535564849E-2</v>
      </c>
    </row>
    <row r="40" spans="2:50">
      <c r="B40">
        <v>3</v>
      </c>
      <c r="C40">
        <f t="shared" si="15"/>
        <v>4.0564373897707231</v>
      </c>
      <c r="D40">
        <f t="shared" si="14"/>
        <v>88.007054673721342</v>
      </c>
      <c r="E40">
        <f t="shared" si="14"/>
        <v>2.2927689594356258</v>
      </c>
      <c r="F40">
        <f t="shared" si="14"/>
        <v>2.1396396396396398</v>
      </c>
      <c r="G40">
        <f t="shared" si="14"/>
        <v>90.315315315315317</v>
      </c>
      <c r="H40">
        <f t="shared" si="14"/>
        <v>2.5900900900900901</v>
      </c>
      <c r="I40">
        <f t="shared" si="14"/>
        <v>1.8296973961998593</v>
      </c>
      <c r="J40">
        <f t="shared" si="14"/>
        <v>91.484869809992958</v>
      </c>
      <c r="K40">
        <f t="shared" si="14"/>
        <v>1.4778325123152709</v>
      </c>
      <c r="L40">
        <f t="shared" si="14"/>
        <v>8.2918739635157543E-2</v>
      </c>
      <c r="M40">
        <f t="shared" si="14"/>
        <v>87.189054726368155</v>
      </c>
      <c r="N40">
        <f t="shared" si="14"/>
        <v>5.8457711442786069</v>
      </c>
      <c r="O40">
        <f t="shared" si="14"/>
        <v>0</v>
      </c>
      <c r="P40">
        <f t="shared" si="14"/>
        <v>85.101311084624555</v>
      </c>
      <c r="Q40">
        <f t="shared" si="14"/>
        <v>9.5113230035756846</v>
      </c>
      <c r="S40" s="1" t="s">
        <v>1</v>
      </c>
      <c r="T40">
        <v>0.83980644799169291</v>
      </c>
      <c r="U40">
        <v>0.87874863390229441</v>
      </c>
      <c r="V40">
        <v>0.86096970819508578</v>
      </c>
      <c r="W40">
        <v>0.82899587249928075</v>
      </c>
      <c r="X40">
        <v>0.75667387665742591</v>
      </c>
      <c r="AI40">
        <v>3</v>
      </c>
      <c r="AJ40">
        <f>23/567</f>
        <v>4.0564373897707229E-2</v>
      </c>
      <c r="AK40">
        <f>499/567</f>
        <v>0.88007054673721341</v>
      </c>
      <c r="AL40">
        <f>13/567</f>
        <v>2.292768959435626E-2</v>
      </c>
      <c r="AM40">
        <f>19/888</f>
        <v>2.1396396396396396E-2</v>
      </c>
      <c r="AN40">
        <f>802/888</f>
        <v>0.90315315315315314</v>
      </c>
      <c r="AO40">
        <f>23/888</f>
        <v>2.59009009009009E-2</v>
      </c>
      <c r="AP40">
        <f>26/1421</f>
        <v>1.8296973961998593E-2</v>
      </c>
      <c r="AQ40">
        <f>1300/1421</f>
        <v>0.91484869809992964</v>
      </c>
      <c r="AR40">
        <f>21/1421</f>
        <v>1.4778325123152709E-2</v>
      </c>
      <c r="AS40">
        <f>2/2412</f>
        <v>8.2918739635157548E-4</v>
      </c>
      <c r="AT40">
        <f>2103/2412</f>
        <v>0.87189054726368154</v>
      </c>
      <c r="AU40">
        <f>141/2412</f>
        <v>5.8457711442786067E-2</v>
      </c>
      <c r="AV40">
        <f>0/4195</f>
        <v>0</v>
      </c>
      <c r="AW40">
        <f>3570/4195</f>
        <v>0.85101311084624554</v>
      </c>
      <c r="AX40">
        <f>399/4195</f>
        <v>9.5113230035756849E-2</v>
      </c>
    </row>
    <row r="41" spans="2:50">
      <c r="B41">
        <v>4</v>
      </c>
      <c r="C41">
        <f t="shared" si="15"/>
        <v>5.4216867469879517</v>
      </c>
      <c r="D41">
        <f t="shared" si="14"/>
        <v>82.128514056224901</v>
      </c>
      <c r="E41">
        <f t="shared" si="14"/>
        <v>1.4056224899598393</v>
      </c>
      <c r="F41">
        <f t="shared" si="14"/>
        <v>2.6582278481012658</v>
      </c>
      <c r="G41">
        <f t="shared" si="14"/>
        <v>88.354430379746844</v>
      </c>
      <c r="H41">
        <f t="shared" si="14"/>
        <v>7.0886075949367093</v>
      </c>
      <c r="I41">
        <f t="shared" si="14"/>
        <v>0.72463768115942029</v>
      </c>
      <c r="J41">
        <f t="shared" si="14"/>
        <v>87.536231884057969</v>
      </c>
      <c r="K41">
        <f t="shared" si="14"/>
        <v>1.3768115942028984</v>
      </c>
      <c r="L41">
        <f t="shared" si="14"/>
        <v>0</v>
      </c>
      <c r="M41">
        <f t="shared" si="14"/>
        <v>75.084554678692214</v>
      </c>
      <c r="N41">
        <f t="shared" si="14"/>
        <v>11.086057872980083</v>
      </c>
      <c r="O41">
        <f t="shared" si="14"/>
        <v>0</v>
      </c>
      <c r="P41">
        <f t="shared" si="14"/>
        <v>74.137080867850102</v>
      </c>
      <c r="Q41">
        <f t="shared" si="14"/>
        <v>11.78500986193294</v>
      </c>
      <c r="S41" s="1" t="s">
        <v>2</v>
      </c>
      <c r="T41">
        <v>2.5212663542230507E-2</v>
      </c>
      <c r="U41">
        <v>5.6004698377807069E-2</v>
      </c>
      <c r="V41">
        <v>3.5727402816435799E-2</v>
      </c>
      <c r="W41">
        <v>7.9999199882813773E-2</v>
      </c>
      <c r="X41">
        <v>0.103928920471382</v>
      </c>
      <c r="AI41">
        <v>4</v>
      </c>
      <c r="AJ41">
        <f>27/498</f>
        <v>5.4216867469879519E-2</v>
      </c>
      <c r="AK41">
        <f>409/498</f>
        <v>0.82128514056224899</v>
      </c>
      <c r="AL41">
        <f>7/498</f>
        <v>1.4056224899598393E-2</v>
      </c>
      <c r="AM41">
        <f>21/790</f>
        <v>2.6582278481012658E-2</v>
      </c>
      <c r="AN41">
        <f>698/790</f>
        <v>0.8835443037974684</v>
      </c>
      <c r="AO41">
        <f>56/790</f>
        <v>7.0886075949367092E-2</v>
      </c>
      <c r="AP41">
        <f>10/1380</f>
        <v>7.246376811594203E-3</v>
      </c>
      <c r="AQ41">
        <f>1208/1380</f>
        <v>0.87536231884057969</v>
      </c>
      <c r="AR41">
        <f>19/1380</f>
        <v>1.3768115942028985E-2</v>
      </c>
      <c r="AS41">
        <f>0/2661</f>
        <v>0</v>
      </c>
      <c r="AT41">
        <f>1998/2661</f>
        <v>0.75084554678692217</v>
      </c>
      <c r="AU41">
        <f>295/2661</f>
        <v>0.11086057872980083</v>
      </c>
      <c r="AV41">
        <f>0/4056</f>
        <v>0</v>
      </c>
      <c r="AW41">
        <f>3007/4056</f>
        <v>0.74137080867850103</v>
      </c>
      <c r="AX41">
        <f>478/4056</f>
        <v>0.11785009861932939</v>
      </c>
    </row>
    <row r="42" spans="2:50">
      <c r="B42">
        <v>5</v>
      </c>
      <c r="C42">
        <f t="shared" si="15"/>
        <v>6.3829787234042552</v>
      </c>
      <c r="D42">
        <f t="shared" si="14"/>
        <v>84.468085106382986</v>
      </c>
      <c r="E42">
        <f t="shared" si="14"/>
        <v>3.8297872340425529</v>
      </c>
      <c r="F42">
        <f t="shared" si="14"/>
        <v>3.612903225806452</v>
      </c>
      <c r="G42">
        <f t="shared" si="14"/>
        <v>89.935483870967744</v>
      </c>
      <c r="H42">
        <f t="shared" si="14"/>
        <v>5.161290322580645</v>
      </c>
      <c r="I42">
        <f t="shared" si="14"/>
        <v>0.38759689922480622</v>
      </c>
      <c r="J42">
        <f t="shared" si="14"/>
        <v>79.147286821705436</v>
      </c>
      <c r="K42">
        <f t="shared" si="14"/>
        <v>6.0465116279069768</v>
      </c>
      <c r="L42">
        <f t="shared" si="14"/>
        <v>0</v>
      </c>
      <c r="M42">
        <f t="shared" si="14"/>
        <v>86.276186404446349</v>
      </c>
      <c r="N42">
        <f t="shared" si="14"/>
        <v>8.4651560495938423</v>
      </c>
      <c r="O42">
        <f t="shared" si="14"/>
        <v>0</v>
      </c>
      <c r="P42">
        <f t="shared" si="14"/>
        <v>75.066258919469931</v>
      </c>
      <c r="Q42">
        <f t="shared" si="14"/>
        <v>6.0754332313965342</v>
      </c>
      <c r="AI42">
        <v>5</v>
      </c>
      <c r="AJ42">
        <f>30/470</f>
        <v>6.3829787234042548E-2</v>
      </c>
      <c r="AK42">
        <f>397/470</f>
        <v>0.84468085106382984</v>
      </c>
      <c r="AL42">
        <f>18/470</f>
        <v>3.8297872340425532E-2</v>
      </c>
      <c r="AM42">
        <f>28/775</f>
        <v>3.612903225806452E-2</v>
      </c>
      <c r="AN42">
        <f>697/775</f>
        <v>0.89935483870967747</v>
      </c>
      <c r="AO42">
        <f>40/775</f>
        <v>5.1612903225806452E-2</v>
      </c>
      <c r="AP42">
        <f>5/1290</f>
        <v>3.875968992248062E-3</v>
      </c>
      <c r="AQ42">
        <f>1021/1290</f>
        <v>0.79147286821705432</v>
      </c>
      <c r="AR42">
        <f>78/1290</f>
        <v>6.0465116279069767E-2</v>
      </c>
      <c r="AS42">
        <f>0/2339</f>
        <v>0</v>
      </c>
      <c r="AT42">
        <f>2018/2339</f>
        <v>0.86276186404446342</v>
      </c>
      <c r="AU42">
        <f>198/2339</f>
        <v>8.465156049593843E-2</v>
      </c>
      <c r="AV42">
        <f>0/4905</f>
        <v>0</v>
      </c>
      <c r="AW42">
        <f>3682/4905</f>
        <v>0.7506625891946993</v>
      </c>
      <c r="AX42">
        <f>298/4905</f>
        <v>6.0754332313965341E-2</v>
      </c>
    </row>
    <row r="43" spans="2:50">
      <c r="B43">
        <v>6</v>
      </c>
      <c r="C43">
        <f t="shared" si="15"/>
        <v>6.4267352185089974</v>
      </c>
      <c r="D43">
        <f t="shared" si="14"/>
        <v>82.776349614395883</v>
      </c>
      <c r="E43">
        <f t="shared" si="14"/>
        <v>2.3136246786632388</v>
      </c>
      <c r="F43">
        <f t="shared" si="14"/>
        <v>5.3231939163498092</v>
      </c>
      <c r="G43">
        <f t="shared" si="14"/>
        <v>87.325728770595688</v>
      </c>
      <c r="H43">
        <f t="shared" si="14"/>
        <v>6.3371356147021549</v>
      </c>
      <c r="I43">
        <f t="shared" si="14"/>
        <v>0.93109869646182497</v>
      </c>
      <c r="J43">
        <f t="shared" si="14"/>
        <v>88.640595903165732</v>
      </c>
      <c r="K43">
        <f t="shared" si="14"/>
        <v>4.655493482309125</v>
      </c>
      <c r="L43">
        <f t="shared" si="14"/>
        <v>0</v>
      </c>
      <c r="M43">
        <f t="shared" si="14"/>
        <v>85.986984815618214</v>
      </c>
      <c r="N43">
        <f t="shared" si="14"/>
        <v>8.1127982646420822</v>
      </c>
      <c r="O43">
        <f t="shared" si="14"/>
        <v>0</v>
      </c>
      <c r="P43">
        <f t="shared" si="14"/>
        <v>72.094772470853712</v>
      </c>
      <c r="Q43">
        <f t="shared" si="14"/>
        <v>9.5524633320797285</v>
      </c>
      <c r="T43" s="3" t="s">
        <v>12</v>
      </c>
      <c r="U43" s="3" t="s">
        <v>13</v>
      </c>
      <c r="V43" s="3" t="s">
        <v>14</v>
      </c>
      <c r="W43" s="3" t="s">
        <v>15</v>
      </c>
      <c r="X43" s="3" t="s">
        <v>16</v>
      </c>
      <c r="AI43">
        <v>6</v>
      </c>
      <c r="AJ43">
        <f>25/389</f>
        <v>6.4267352185089971E-2</v>
      </c>
      <c r="AK43">
        <f>322/389</f>
        <v>0.82776349614395883</v>
      </c>
      <c r="AL43">
        <f>9/389</f>
        <v>2.313624678663239E-2</v>
      </c>
      <c r="AM43">
        <f>42/789</f>
        <v>5.3231939163498096E-2</v>
      </c>
      <c r="AN43">
        <f>689/789</f>
        <v>0.8732572877059569</v>
      </c>
      <c r="AO43">
        <f>50/789</f>
        <v>6.3371356147021551E-2</v>
      </c>
      <c r="AP43">
        <f>15/1611</f>
        <v>9.3109869646182501E-3</v>
      </c>
      <c r="AQ43">
        <f>1428/1611</f>
        <v>0.88640595903165731</v>
      </c>
      <c r="AR43">
        <f>75/1611</f>
        <v>4.6554934823091247E-2</v>
      </c>
      <c r="AS43">
        <f>0/2305</f>
        <v>0</v>
      </c>
      <c r="AT43">
        <f>1982/2305</f>
        <v>0.85986984815618217</v>
      </c>
      <c r="AU43">
        <f>187/2305</f>
        <v>8.1127982646420821E-2</v>
      </c>
      <c r="AV43">
        <f>0/5318</f>
        <v>0</v>
      </c>
      <c r="AW43">
        <f>3834/5318</f>
        <v>0.72094772470853707</v>
      </c>
      <c r="AX43">
        <f>508/5318</f>
        <v>9.5524633320797289E-2</v>
      </c>
    </row>
    <row r="44" spans="2:50">
      <c r="B44">
        <v>7</v>
      </c>
      <c r="C44">
        <f t="shared" si="15"/>
        <v>6.2124248496993983</v>
      </c>
      <c r="D44">
        <f t="shared" si="14"/>
        <v>82.965931863727462</v>
      </c>
      <c r="E44">
        <f t="shared" si="14"/>
        <v>2.2044088176352705</v>
      </c>
      <c r="F44">
        <f t="shared" si="14"/>
        <v>5.9561128526645764</v>
      </c>
      <c r="G44">
        <f t="shared" si="14"/>
        <v>90.595611285266457</v>
      </c>
      <c r="H44">
        <f t="shared" si="14"/>
        <v>3.9184952978056429</v>
      </c>
      <c r="I44">
        <f t="shared" si="14"/>
        <v>1.1651816312542838</v>
      </c>
      <c r="J44">
        <f t="shared" si="14"/>
        <v>82.179575051405067</v>
      </c>
      <c r="K44">
        <f t="shared" si="14"/>
        <v>6.7854694996572995</v>
      </c>
      <c r="L44">
        <f t="shared" si="14"/>
        <v>0</v>
      </c>
      <c r="M44">
        <f t="shared" si="14"/>
        <v>81.750683860883157</v>
      </c>
      <c r="N44">
        <f t="shared" si="14"/>
        <v>6.9949198905822589</v>
      </c>
      <c r="O44">
        <f t="shared" si="14"/>
        <v>0</v>
      </c>
      <c r="P44">
        <f t="shared" si="14"/>
        <v>77.074666082767678</v>
      </c>
      <c r="Q44">
        <f t="shared" si="14"/>
        <v>11.27654915699584</v>
      </c>
      <c r="S44" s="1" t="s">
        <v>0</v>
      </c>
      <c r="T44">
        <v>1.3174422312140189E-2</v>
      </c>
      <c r="U44">
        <v>1.2899741497389585E-2</v>
      </c>
      <c r="V44">
        <v>5.1978430625115443E-3</v>
      </c>
      <c r="W44">
        <v>0</v>
      </c>
      <c r="X44">
        <v>0</v>
      </c>
      <c r="AI44">
        <v>7</v>
      </c>
      <c r="AJ44">
        <f>31/499</f>
        <v>6.2124248496993988E-2</v>
      </c>
      <c r="AK44">
        <f>414/499</f>
        <v>0.8296593186372746</v>
      </c>
      <c r="AL44">
        <f>11/499</f>
        <v>2.2044088176352707E-2</v>
      </c>
      <c r="AM44">
        <f>38/638</f>
        <v>5.9561128526645767E-2</v>
      </c>
      <c r="AN44">
        <f>578/638</f>
        <v>0.90595611285266453</v>
      </c>
      <c r="AO44">
        <f>25/638</f>
        <v>3.918495297805643E-2</v>
      </c>
      <c r="AP44">
        <f>17/1459</f>
        <v>1.1651816312542838E-2</v>
      </c>
      <c r="AQ44">
        <f>1199/1459</f>
        <v>0.82179575051405074</v>
      </c>
      <c r="AR44">
        <f>99/1459</f>
        <v>6.7854694996572998E-2</v>
      </c>
      <c r="AS44">
        <f>0/2559</f>
        <v>0</v>
      </c>
      <c r="AT44">
        <f>2092/2559</f>
        <v>0.81750683860883155</v>
      </c>
      <c r="AU44">
        <f>179/2559</f>
        <v>6.9949198905822588E-2</v>
      </c>
      <c r="AV44">
        <f>0/4567</f>
        <v>0</v>
      </c>
      <c r="AW44">
        <f>3520/4567</f>
        <v>0.77074666082767684</v>
      </c>
      <c r="AX44">
        <f>515/4567</f>
        <v>0.1127654915699584</v>
      </c>
    </row>
    <row r="45" spans="2:50">
      <c r="B45">
        <v>8</v>
      </c>
      <c r="C45">
        <f t="shared" si="15"/>
        <v>6.6997518610421833</v>
      </c>
      <c r="D45">
        <f t="shared" si="14"/>
        <v>81.389578163771716</v>
      </c>
      <c r="E45">
        <f t="shared" si="14"/>
        <v>3.4739454094292808</v>
      </c>
      <c r="F45">
        <f t="shared" si="14"/>
        <v>2.7329192546583849</v>
      </c>
      <c r="G45">
        <f t="shared" si="14"/>
        <v>86.956521739130437</v>
      </c>
      <c r="H45">
        <f t="shared" si="14"/>
        <v>4.2236024844720497</v>
      </c>
      <c r="I45">
        <f t="shared" si="14"/>
        <v>1.8745959922430511</v>
      </c>
      <c r="J45">
        <f t="shared" si="14"/>
        <v>83.968972204266322</v>
      </c>
      <c r="K45">
        <f t="shared" si="14"/>
        <v>1.1635423400129283</v>
      </c>
      <c r="L45">
        <f t="shared" si="14"/>
        <v>0</v>
      </c>
      <c r="M45">
        <f t="shared" si="14"/>
        <v>83.885209713024281</v>
      </c>
      <c r="N45">
        <f t="shared" si="14"/>
        <v>8.5724797645327442</v>
      </c>
      <c r="O45">
        <f t="shared" si="14"/>
        <v>0</v>
      </c>
      <c r="P45">
        <f t="shared" si="14"/>
        <v>72.71047769860121</v>
      </c>
      <c r="Q45">
        <f t="shared" si="14"/>
        <v>10.794404856162576</v>
      </c>
      <c r="S45" s="1" t="s">
        <v>1</v>
      </c>
      <c r="T45">
        <v>3.0483844438089054E-2</v>
      </c>
      <c r="U45">
        <v>2.5414624471808343E-2</v>
      </c>
      <c r="V45">
        <v>3.6667460170112735E-2</v>
      </c>
      <c r="W45">
        <v>3.5990824083400846E-2</v>
      </c>
      <c r="X45">
        <v>3.7826339069507914E-2</v>
      </c>
      <c r="AI45">
        <v>8</v>
      </c>
      <c r="AJ45">
        <f>27/403</f>
        <v>6.699751861042183E-2</v>
      </c>
      <c r="AK45">
        <f>328/403</f>
        <v>0.81389578163771714</v>
      </c>
      <c r="AL45">
        <f>14/403</f>
        <v>3.4739454094292806E-2</v>
      </c>
      <c r="AM45">
        <f>22/805</f>
        <v>2.732919254658385E-2</v>
      </c>
      <c r="AN45">
        <f>700/805</f>
        <v>0.86956521739130432</v>
      </c>
      <c r="AO45">
        <f>34/805</f>
        <v>4.2236024844720499E-2</v>
      </c>
      <c r="AP45">
        <f>29/1547</f>
        <v>1.874595992243051E-2</v>
      </c>
      <c r="AQ45">
        <f>1299/1547</f>
        <v>0.83968972204266323</v>
      </c>
      <c r="AR45">
        <f>18/1547</f>
        <v>1.1635423400129283E-2</v>
      </c>
      <c r="AS45">
        <f>0/2718</f>
        <v>0</v>
      </c>
      <c r="AT45">
        <f>2280/2718</f>
        <v>0.83885209713024278</v>
      </c>
      <c r="AU45">
        <f>233/2718</f>
        <v>8.572479764532745E-2</v>
      </c>
      <c r="AV45">
        <f>0/3789</f>
        <v>0</v>
      </c>
      <c r="AW45">
        <f>2755/3789</f>
        <v>0.72710477698601217</v>
      </c>
      <c r="AX45">
        <f>409/3789</f>
        <v>0.10794404856162576</v>
      </c>
    </row>
    <row r="46" spans="2:50">
      <c r="B46">
        <v>9</v>
      </c>
      <c r="C46">
        <f t="shared" si="15"/>
        <v>2.8503562945368173</v>
      </c>
      <c r="D46">
        <f t="shared" si="14"/>
        <v>90.736342042755354</v>
      </c>
      <c r="E46">
        <f t="shared" si="14"/>
        <v>2.1377672209026128</v>
      </c>
      <c r="F46">
        <f t="shared" si="14"/>
        <v>5.3777208706786173</v>
      </c>
      <c r="G46">
        <f t="shared" si="14"/>
        <v>88.732394366197184</v>
      </c>
      <c r="H46">
        <f t="shared" si="14"/>
        <v>4.7375160051216394</v>
      </c>
      <c r="I46">
        <f t="shared" si="14"/>
        <v>1.6174402250351618</v>
      </c>
      <c r="J46">
        <f t="shared" si="14"/>
        <v>84.73980309423348</v>
      </c>
      <c r="K46">
        <f t="shared" si="14"/>
        <v>4.7819971870604778</v>
      </c>
      <c r="L46">
        <f t="shared" si="14"/>
        <v>0</v>
      </c>
      <c r="M46">
        <f t="shared" si="14"/>
        <v>81.111111111111114</v>
      </c>
      <c r="N46">
        <f t="shared" si="14"/>
        <v>7.9629629629629637</v>
      </c>
      <c r="O46">
        <f t="shared" si="14"/>
        <v>0</v>
      </c>
      <c r="P46">
        <f t="shared" si="14"/>
        <v>73.453923246150083</v>
      </c>
      <c r="Q46">
        <f t="shared" si="14"/>
        <v>13.468589586898069</v>
      </c>
      <c r="S46" s="1" t="s">
        <v>2</v>
      </c>
      <c r="T46">
        <v>1.1594170493221076E-2</v>
      </c>
      <c r="U46">
        <v>1.7147173017992255E-2</v>
      </c>
      <c r="V46">
        <v>2.0551880785593942E-2</v>
      </c>
      <c r="W46">
        <v>1.3563606691549572E-2</v>
      </c>
      <c r="X46">
        <v>2.0858182083195273E-2</v>
      </c>
      <c r="AI46">
        <v>9</v>
      </c>
      <c r="AJ46">
        <f>12/421</f>
        <v>2.8503562945368172E-2</v>
      </c>
      <c r="AK46">
        <f>382/421</f>
        <v>0.90736342042755347</v>
      </c>
      <c r="AL46">
        <f>9/421</f>
        <v>2.1377672209026127E-2</v>
      </c>
      <c r="AM46">
        <f>42/781</f>
        <v>5.3777208706786171E-2</v>
      </c>
      <c r="AN46">
        <f>693/781</f>
        <v>0.88732394366197187</v>
      </c>
      <c r="AO46">
        <f>37/781</f>
        <v>4.7375160051216392E-2</v>
      </c>
      <c r="AP46">
        <f>23/1422</f>
        <v>1.6174402250351619E-2</v>
      </c>
      <c r="AQ46">
        <f>1205/1422</f>
        <v>0.84739803094233479</v>
      </c>
      <c r="AR46">
        <f>68/1422</f>
        <v>4.7819971870604779E-2</v>
      </c>
      <c r="AS46">
        <f>0/2700</f>
        <v>0</v>
      </c>
      <c r="AT46">
        <f>2190/2700</f>
        <v>0.81111111111111112</v>
      </c>
      <c r="AU46">
        <f>215/2700</f>
        <v>7.9629629629629634E-2</v>
      </c>
      <c r="AV46">
        <f>0/4091</f>
        <v>0</v>
      </c>
      <c r="AW46">
        <f>3005/4091</f>
        <v>0.73453923246150088</v>
      </c>
      <c r="AX46">
        <f>551/4091</f>
        <v>0.13468589586898069</v>
      </c>
    </row>
    <row r="47" spans="2:50">
      <c r="B47">
        <v>10</v>
      </c>
      <c r="C47">
        <f t="shared" si="15"/>
        <v>4.556962025316456</v>
      </c>
      <c r="D47">
        <f t="shared" si="14"/>
        <v>83.291139240506325</v>
      </c>
      <c r="E47">
        <f t="shared" si="14"/>
        <v>4.8101265822784809</v>
      </c>
      <c r="F47">
        <f t="shared" si="14"/>
        <v>3.7514654161781942</v>
      </c>
      <c r="G47">
        <f t="shared" si="14"/>
        <v>81.711606096131305</v>
      </c>
      <c r="H47">
        <f t="shared" si="14"/>
        <v>7.0339976553341153</v>
      </c>
      <c r="I47">
        <f t="shared" si="14"/>
        <v>1.1848341232227488</v>
      </c>
      <c r="J47">
        <f t="shared" si="14"/>
        <v>88.625592417061611</v>
      </c>
      <c r="K47">
        <f t="shared" si="14"/>
        <v>3.6137440758293837</v>
      </c>
      <c r="L47">
        <f t="shared" si="14"/>
        <v>0</v>
      </c>
      <c r="M47">
        <f t="shared" si="14"/>
        <v>82.533438237608181</v>
      </c>
      <c r="N47">
        <f t="shared" si="14"/>
        <v>7.9464988198269086</v>
      </c>
      <c r="O47">
        <f t="shared" si="14"/>
        <v>0</v>
      </c>
      <c r="P47">
        <f t="shared" si="14"/>
        <v>75.401521555367708</v>
      </c>
      <c r="Q47">
        <f t="shared" si="14"/>
        <v>10.777683854606931</v>
      </c>
      <c r="AI47">
        <v>10</v>
      </c>
      <c r="AJ47">
        <f>18/395</f>
        <v>4.5569620253164557E-2</v>
      </c>
      <c r="AK47">
        <f>329/395</f>
        <v>0.83291139240506329</v>
      </c>
      <c r="AL47">
        <f>19/395</f>
        <v>4.810126582278481E-2</v>
      </c>
      <c r="AM47">
        <f>32/853</f>
        <v>3.7514654161781943E-2</v>
      </c>
      <c r="AN47">
        <f>697/853</f>
        <v>0.81711606096131306</v>
      </c>
      <c r="AO47">
        <f>60/853</f>
        <v>7.0339976553341149E-2</v>
      </c>
      <c r="AP47">
        <f>20/1688</f>
        <v>1.1848341232227487E-2</v>
      </c>
      <c r="AQ47">
        <f>1496/1688</f>
        <v>0.88625592417061616</v>
      </c>
      <c r="AR47">
        <f>61/1688</f>
        <v>3.6137440758293837E-2</v>
      </c>
      <c r="AS47">
        <f>0/2542</f>
        <v>0</v>
      </c>
      <c r="AT47">
        <f>2098/2542</f>
        <v>0.82533438237608181</v>
      </c>
      <c r="AU47">
        <f>202/2542</f>
        <v>7.9464988198269082E-2</v>
      </c>
      <c r="AV47">
        <f>0/4732</f>
        <v>0</v>
      </c>
      <c r="AW47">
        <f>3568/4732</f>
        <v>0.75401521555367712</v>
      </c>
      <c r="AX47">
        <f>510/4732</f>
        <v>0.10777683854606931</v>
      </c>
    </row>
    <row r="48" spans="2:50">
      <c r="B48" s="2" t="s">
        <v>9</v>
      </c>
      <c r="C48">
        <f>AVERAGE(C38:C47)</f>
        <v>5.3431843134047137</v>
      </c>
      <c r="D48">
        <f t="shared" ref="D48:Q48" si="16">AVERAGE(D38:D47)</f>
        <v>83.980644799169312</v>
      </c>
      <c r="E48">
        <f t="shared" si="16"/>
        <v>2.5212663542230511</v>
      </c>
      <c r="F48">
        <f t="shared" si="16"/>
        <v>4.0008754044423105</v>
      </c>
      <c r="G48">
        <f t="shared" si="16"/>
        <v>87.87486339022945</v>
      </c>
      <c r="H48">
        <f t="shared" si="16"/>
        <v>5.6004698377807074</v>
      </c>
      <c r="I48">
        <f t="shared" si="16"/>
        <v>1.1113044364910529</v>
      </c>
      <c r="J48">
        <f t="shared" si="16"/>
        <v>86.096970819508584</v>
      </c>
      <c r="K48">
        <f t="shared" si="16"/>
        <v>3.5727402816435792</v>
      </c>
      <c r="L48">
        <f t="shared" si="16"/>
        <v>1.2152877824519615E-2</v>
      </c>
      <c r="M48">
        <f t="shared" si="16"/>
        <v>82.899587249928075</v>
      </c>
      <c r="N48">
        <f t="shared" si="16"/>
        <v>7.9999199882813787</v>
      </c>
      <c r="O48">
        <f t="shared" si="16"/>
        <v>0</v>
      </c>
      <c r="P48">
        <f t="shared" si="16"/>
        <v>75.667387665742595</v>
      </c>
      <c r="Q48">
        <f t="shared" si="16"/>
        <v>10.392892047138201</v>
      </c>
      <c r="AI48" s="2" t="s">
        <v>9</v>
      </c>
      <c r="AJ48">
        <f>AVERAGE(AJ38:AJ47)</f>
        <v>5.3431843134047141E-2</v>
      </c>
      <c r="AK48">
        <f t="shared" ref="AK48:AX48" si="17">AVERAGE(AK38:AK47)</f>
        <v>0.83980644799169291</v>
      </c>
      <c r="AL48">
        <f t="shared" si="17"/>
        <v>2.5212663542230507E-2</v>
      </c>
      <c r="AM48">
        <f t="shared" si="17"/>
        <v>4.0008754044423105E-2</v>
      </c>
      <c r="AN48">
        <f t="shared" si="17"/>
        <v>0.87874863390229441</v>
      </c>
      <c r="AO48">
        <f t="shared" si="17"/>
        <v>5.6004698377807069E-2</v>
      </c>
      <c r="AP48">
        <f t="shared" si="17"/>
        <v>1.1113044364910526E-2</v>
      </c>
      <c r="AQ48">
        <f t="shared" si="17"/>
        <v>0.86096970819508578</v>
      </c>
      <c r="AR48">
        <f t="shared" si="17"/>
        <v>3.5727402816435799E-2</v>
      </c>
      <c r="AS48">
        <f t="shared" si="17"/>
        <v>1.2152877824519616E-4</v>
      </c>
      <c r="AT48">
        <f t="shared" si="17"/>
        <v>0.82899587249928075</v>
      </c>
      <c r="AU48">
        <f t="shared" si="17"/>
        <v>7.9999199882813773E-2</v>
      </c>
      <c r="AV48">
        <f t="shared" si="17"/>
        <v>0</v>
      </c>
      <c r="AW48">
        <f t="shared" si="17"/>
        <v>0.75667387665742591</v>
      </c>
      <c r="AX48">
        <f t="shared" si="17"/>
        <v>0.103928920471382</v>
      </c>
    </row>
    <row r="49" spans="2:50">
      <c r="B49" s="2" t="s">
        <v>10</v>
      </c>
      <c r="C49">
        <f>STDEV(C38:C47)</f>
        <v>1.3174422312140206</v>
      </c>
      <c r="D49">
        <f t="shared" ref="D49:Q49" si="18">STDEV(D38:D47)</f>
        <v>3.0483844438082595</v>
      </c>
      <c r="E49">
        <f t="shared" si="18"/>
        <v>1.1594170493221059</v>
      </c>
      <c r="F49">
        <f t="shared" si="18"/>
        <v>1.2899741497389576</v>
      </c>
      <c r="G49">
        <f t="shared" si="18"/>
        <v>2.5414624471803662</v>
      </c>
      <c r="H49">
        <f t="shared" si="18"/>
        <v>1.7147173017992221</v>
      </c>
      <c r="I49">
        <f t="shared" si="18"/>
        <v>0.5197843062511539</v>
      </c>
      <c r="J49">
        <f t="shared" si="18"/>
        <v>3.6667460170110995</v>
      </c>
      <c r="K49">
        <f t="shared" si="18"/>
        <v>2.0551880785593952</v>
      </c>
      <c r="L49">
        <f t="shared" si="18"/>
        <v>2.7667325433873381E-2</v>
      </c>
      <c r="M49">
        <f t="shared" si="18"/>
        <v>3.599082408340097</v>
      </c>
      <c r="N49">
        <f t="shared" si="18"/>
        <v>1.3563606691549459</v>
      </c>
      <c r="O49">
        <f t="shared" si="18"/>
        <v>0</v>
      </c>
      <c r="P49">
        <f t="shared" si="18"/>
        <v>3.7826339069506481</v>
      </c>
      <c r="Q49">
        <f t="shared" si="18"/>
        <v>2.0858182083195351</v>
      </c>
      <c r="AI49" s="2" t="s">
        <v>10</v>
      </c>
      <c r="AJ49">
        <f>STDEV(AJ38:AJ47)</f>
        <v>1.3174422312140189E-2</v>
      </c>
      <c r="AK49">
        <f t="shared" ref="AK49:AX49" si="19">STDEV(AK38:AK47)</f>
        <v>3.0483844438089054E-2</v>
      </c>
      <c r="AL49">
        <f t="shared" si="19"/>
        <v>1.1594170493221076E-2</v>
      </c>
      <c r="AM49">
        <f t="shared" si="19"/>
        <v>1.2899741497389585E-2</v>
      </c>
      <c r="AN49">
        <f t="shared" si="19"/>
        <v>2.5414624471808343E-2</v>
      </c>
      <c r="AO49">
        <f t="shared" si="19"/>
        <v>1.7147173017992255E-2</v>
      </c>
      <c r="AP49">
        <f t="shared" si="19"/>
        <v>5.1978430625115443E-3</v>
      </c>
      <c r="AQ49">
        <f t="shared" si="19"/>
        <v>3.6667460170112735E-2</v>
      </c>
      <c r="AR49">
        <f t="shared" si="19"/>
        <v>2.0551880785593942E-2</v>
      </c>
      <c r="AS49">
        <f t="shared" si="19"/>
        <v>2.7667325433873384E-4</v>
      </c>
      <c r="AT49">
        <f t="shared" si="19"/>
        <v>3.5990824083400846E-2</v>
      </c>
      <c r="AU49">
        <f t="shared" si="19"/>
        <v>1.3563606691549572E-2</v>
      </c>
      <c r="AV49">
        <f t="shared" si="19"/>
        <v>0</v>
      </c>
      <c r="AW49">
        <f t="shared" si="19"/>
        <v>3.7826339069507914E-2</v>
      </c>
      <c r="AX49">
        <f t="shared" si="19"/>
        <v>2.0858182083195273E-2</v>
      </c>
    </row>
    <row r="50" spans="2:50">
      <c r="B50" s="2" t="s">
        <v>11</v>
      </c>
      <c r="F50">
        <f>TTEST(F38:F47,C38:C47,2,3)</f>
        <v>3.348804024557181E-2</v>
      </c>
      <c r="G50">
        <f>TTEST(G38:G47,D38:D47,2,3)</f>
        <v>6.3185656141949318E-3</v>
      </c>
      <c r="H50">
        <f>TTEST(H38:H47,E38:E47,2,3)</f>
        <v>2.4639807415086394E-4</v>
      </c>
      <c r="I50">
        <f>TTEST(I38:I47,C38:C47,2,3)</f>
        <v>7.8501126200047464E-7</v>
      </c>
      <c r="J50">
        <f>TTEST(J38:J47,D38:D47,2,3)</f>
        <v>0.17804632992150848</v>
      </c>
      <c r="K50">
        <f>TTEST(K38:K47,E38:E47,2,3)</f>
        <v>0.18031949632182454</v>
      </c>
      <c r="M50">
        <f>TTEST(M38:M47,D38:D47,2,3)</f>
        <v>0.47813670926328256</v>
      </c>
      <c r="N50">
        <f>TTEST(N38:N47,E38:E47,2,3)</f>
        <v>1.7529573775910028E-8</v>
      </c>
      <c r="P50">
        <f>TTEST(P38:P47,D38:D47,2,3)</f>
        <v>4.4733846273082095E-5</v>
      </c>
      <c r="Q50">
        <f>TTEST(Q38:Q47,E38:E47,2,3)</f>
        <v>5.2474037879039886E-8</v>
      </c>
      <c r="AI50" s="2" t="s">
        <v>11</v>
      </c>
      <c r="AM50">
        <f>TTEST(AM38:AM47,AJ38:AJ47,2,3)</f>
        <v>3.3488040245571941E-2</v>
      </c>
      <c r="AN50">
        <f>TTEST(AN38:AN47,AK38:AK47,2,3)</f>
        <v>6.3185656141947662E-3</v>
      </c>
      <c r="AO50">
        <f>TTEST(AO38:AO47,AL38:AL47,2,3)</f>
        <v>2.4639807415086448E-4</v>
      </c>
      <c r="AP50">
        <f>TTEST(AP38:AP47,AJ38:AJ47,2,3)</f>
        <v>7.8501126200047464E-7</v>
      </c>
      <c r="AQ50">
        <f>TTEST(AQ38:AQ47,AK38:AK47,2,3)</f>
        <v>0.17804632992150471</v>
      </c>
      <c r="AR50">
        <f>TTEST(AR38:AR47,AL38:AL47,2,3)</f>
        <v>0.18031949632182642</v>
      </c>
      <c r="AT50">
        <f>TTEST(AT38:AT47,AK38:AK47,2,3)</f>
        <v>0.47813670926328899</v>
      </c>
      <c r="AU50">
        <f>TTEST(AU38:AU47,AL38:AL47,2,3)</f>
        <v>1.7529573775910034E-8</v>
      </c>
      <c r="AW50">
        <f>TTEST(AW38:AW47,AK38:AK47,2,3)</f>
        <v>4.4733846273083213E-5</v>
      </c>
      <c r="AX50">
        <f>TTEST(AX38:AX47,AL38:AL47,2,3)</f>
        <v>5.2474037879039899E-8</v>
      </c>
    </row>
    <row r="53" spans="2:50">
      <c r="B53" s="3" t="s">
        <v>21</v>
      </c>
    </row>
    <row r="54" spans="2:50" ht="17.25">
      <c r="B54" t="s">
        <v>8</v>
      </c>
      <c r="C54" s="10" t="s">
        <v>22</v>
      </c>
      <c r="D54" s="10" t="s">
        <v>23</v>
      </c>
      <c r="E54" s="10" t="s">
        <v>24</v>
      </c>
      <c r="F54" s="10" t="s">
        <v>25</v>
      </c>
      <c r="G54" s="10" t="s">
        <v>26</v>
      </c>
    </row>
    <row r="55" spans="2:50">
      <c r="B55">
        <v>1</v>
      </c>
      <c r="C55">
        <v>0.625</v>
      </c>
      <c r="D55">
        <v>0.16200000000000001</v>
      </c>
      <c r="E55">
        <v>0.28399999999999997</v>
      </c>
      <c r="F55">
        <v>0.23499999999999999</v>
      </c>
      <c r="G55">
        <v>5.8999999999999997E-2</v>
      </c>
    </row>
    <row r="56" spans="2:50">
      <c r="B56">
        <v>2</v>
      </c>
      <c r="C56">
        <v>0.51900000000000002</v>
      </c>
      <c r="D56">
        <v>0.22500000000000001</v>
      </c>
      <c r="E56">
        <v>0.23699999999999999</v>
      </c>
      <c r="F56">
        <v>0.17100000000000001</v>
      </c>
      <c r="G56">
        <v>8.8999999999999996E-2</v>
      </c>
    </row>
    <row r="57" spans="2:50" ht="17.25">
      <c r="B57">
        <v>3</v>
      </c>
      <c r="C57">
        <v>0.66100000000000003</v>
      </c>
      <c r="D57">
        <v>0.24199999999999999</v>
      </c>
      <c r="E57">
        <v>0.25600000000000001</v>
      </c>
      <c r="F57">
        <v>0.25900000000000001</v>
      </c>
      <c r="G57">
        <v>9.1999999999999998E-2</v>
      </c>
      <c r="H57" s="10" t="s">
        <v>22</v>
      </c>
      <c r="I57" s="10" t="s">
        <v>23</v>
      </c>
      <c r="J57" s="10" t="s">
        <v>24</v>
      </c>
      <c r="K57" s="10" t="s">
        <v>25</v>
      </c>
      <c r="L57" s="10" t="s">
        <v>26</v>
      </c>
    </row>
    <row r="58" spans="2:50">
      <c r="B58">
        <v>4</v>
      </c>
      <c r="C58">
        <v>0.60499999999999998</v>
      </c>
      <c r="D58">
        <v>0.19900000000000001</v>
      </c>
      <c r="E58">
        <v>0.193</v>
      </c>
      <c r="F58">
        <v>0.11799999999999999</v>
      </c>
      <c r="G58">
        <v>7.8E-2</v>
      </c>
      <c r="H58">
        <v>0.57269999999999999</v>
      </c>
      <c r="I58">
        <v>0.19290000000000002</v>
      </c>
      <c r="J58">
        <v>0.21099999999999999</v>
      </c>
      <c r="K58">
        <v>0.20760000000000001</v>
      </c>
      <c r="L58">
        <v>9.1499999999999998E-2</v>
      </c>
    </row>
    <row r="59" spans="2:50">
      <c r="B59">
        <v>5</v>
      </c>
      <c r="C59">
        <v>0.70199999999999996</v>
      </c>
      <c r="D59">
        <v>0.185</v>
      </c>
      <c r="E59">
        <v>0.20599999999999999</v>
      </c>
      <c r="F59">
        <v>0.20300000000000001</v>
      </c>
      <c r="G59">
        <v>0.112</v>
      </c>
    </row>
    <row r="60" spans="2:50">
      <c r="B60">
        <v>6</v>
      </c>
      <c r="C60">
        <v>0.50800000000000001</v>
      </c>
      <c r="D60">
        <v>0.20399999999999999</v>
      </c>
      <c r="E60">
        <v>0.153</v>
      </c>
      <c r="F60">
        <v>0.255</v>
      </c>
      <c r="G60">
        <v>0.108</v>
      </c>
    </row>
    <row r="61" spans="2:50">
      <c r="B61">
        <v>7</v>
      </c>
      <c r="C61">
        <v>0.52300000000000002</v>
      </c>
      <c r="D61">
        <v>0.11799999999999999</v>
      </c>
      <c r="E61">
        <v>0.19500000000000001</v>
      </c>
      <c r="F61">
        <v>0.16700000000000001</v>
      </c>
      <c r="G61">
        <v>9.8000000000000004E-2</v>
      </c>
    </row>
    <row r="62" spans="2:50">
      <c r="B62">
        <v>8</v>
      </c>
      <c r="C62">
        <v>0.48499999999999999</v>
      </c>
      <c r="D62">
        <v>0.14699999999999999</v>
      </c>
      <c r="E62">
        <v>0.214</v>
      </c>
      <c r="F62">
        <v>0.189</v>
      </c>
      <c r="G62">
        <v>8.2000000000000003E-2</v>
      </c>
    </row>
    <row r="63" spans="2:50">
      <c r="B63">
        <v>9</v>
      </c>
      <c r="C63">
        <v>0.57799999999999996</v>
      </c>
      <c r="D63">
        <v>0.219</v>
      </c>
      <c r="E63">
        <v>0.23899999999999999</v>
      </c>
      <c r="F63">
        <v>0.191</v>
      </c>
      <c r="G63">
        <v>0.13200000000000001</v>
      </c>
    </row>
    <row r="64" spans="2:50">
      <c r="B64">
        <v>10</v>
      </c>
      <c r="C64">
        <v>0.52100000000000002</v>
      </c>
      <c r="D64">
        <v>0.22800000000000001</v>
      </c>
      <c r="E64">
        <v>0.13300000000000001</v>
      </c>
      <c r="F64">
        <v>0.28799999999999998</v>
      </c>
      <c r="G64">
        <v>6.5000000000000002E-2</v>
      </c>
    </row>
    <row r="65" spans="2:8">
      <c r="B65" s="2" t="s">
        <v>9</v>
      </c>
      <c r="C65">
        <f>AVERAGE(C55:C64)</f>
        <v>0.57269999999999999</v>
      </c>
      <c r="D65">
        <f t="shared" ref="D65:G65" si="20">AVERAGE(D55:D64)</f>
        <v>0.19290000000000002</v>
      </c>
      <c r="E65">
        <f t="shared" si="20"/>
        <v>0.21099999999999999</v>
      </c>
      <c r="F65">
        <f t="shared" si="20"/>
        <v>0.20760000000000001</v>
      </c>
      <c r="G65">
        <f t="shared" si="20"/>
        <v>9.1499999999999998E-2</v>
      </c>
    </row>
    <row r="66" spans="2:8">
      <c r="B66" s="2" t="s">
        <v>10</v>
      </c>
      <c r="C66">
        <f>STDEV(C55:C64)</f>
        <v>7.3201472359205308E-2</v>
      </c>
      <c r="D66">
        <f t="shared" ref="D66:G66" si="21">STDEV(D55:D64)</f>
        <v>3.9789585460407929E-2</v>
      </c>
      <c r="E66">
        <f t="shared" si="21"/>
        <v>4.5796651988254923E-2</v>
      </c>
      <c r="F66">
        <f t="shared" si="21"/>
        <v>5.1383525245614049E-2</v>
      </c>
      <c r="G66">
        <f t="shared" si="21"/>
        <v>2.2142217092644072E-2</v>
      </c>
    </row>
    <row r="67" spans="2:8">
      <c r="B67" s="2" t="s">
        <v>27</v>
      </c>
      <c r="D67">
        <f>TTEST(D55:D64,C55:C64,2,3)</f>
        <v>9.5354824327013913E-10</v>
      </c>
      <c r="E67">
        <f>TTEST(E55:E64,C55:C64,2,3)</f>
        <v>1.0103879064102808E-9</v>
      </c>
      <c r="F67">
        <f>TTEST(F55:F64,C55:C64,2,3)</f>
        <v>6.3691268677441997E-10</v>
      </c>
      <c r="G67">
        <f>TTEST(G55:G64,C55:C64,2,3)</f>
        <v>9.3333085693353934E-10</v>
      </c>
    </row>
    <row r="70" spans="2:8">
      <c r="B70" s="3" t="s">
        <v>28</v>
      </c>
    </row>
    <row r="71" spans="2:8">
      <c r="B71" t="s">
        <v>8</v>
      </c>
      <c r="C71" s="11" t="s">
        <v>35</v>
      </c>
      <c r="D71" s="11" t="s">
        <v>36</v>
      </c>
      <c r="E71" s="11" t="s">
        <v>37</v>
      </c>
    </row>
    <row r="72" spans="2:8">
      <c r="B72">
        <v>1</v>
      </c>
      <c r="C72">
        <v>0.46400000000000002</v>
      </c>
      <c r="D72">
        <v>0.185</v>
      </c>
      <c r="E72">
        <v>0.221</v>
      </c>
    </row>
    <row r="73" spans="2:8">
      <c r="B73">
        <v>2</v>
      </c>
      <c r="C73">
        <v>0.49</v>
      </c>
      <c r="D73">
        <v>0.192</v>
      </c>
      <c r="E73">
        <v>0.153</v>
      </c>
    </row>
    <row r="74" spans="2:8">
      <c r="B74">
        <v>3</v>
      </c>
      <c r="C74">
        <v>0.501</v>
      </c>
      <c r="D74">
        <v>0.20100000000000001</v>
      </c>
      <c r="E74">
        <v>0.219</v>
      </c>
    </row>
    <row r="75" spans="2:8">
      <c r="B75">
        <v>4</v>
      </c>
      <c r="C75">
        <v>0.498</v>
      </c>
      <c r="D75">
        <v>0.22</v>
      </c>
      <c r="E75">
        <v>0.20799999999999999</v>
      </c>
      <c r="G75" s="11" t="s">
        <v>35</v>
      </c>
      <c r="H75">
        <v>0.48710000000000003</v>
      </c>
    </row>
    <row r="76" spans="2:8">
      <c r="B76">
        <v>5</v>
      </c>
      <c r="C76">
        <v>0.53900000000000003</v>
      </c>
      <c r="D76">
        <v>0.14799999999999999</v>
      </c>
      <c r="E76">
        <v>0.25900000000000001</v>
      </c>
      <c r="G76" s="11" t="s">
        <v>36</v>
      </c>
      <c r="H76">
        <v>0.20250000000000004</v>
      </c>
    </row>
    <row r="77" spans="2:8">
      <c r="B77">
        <v>6</v>
      </c>
      <c r="C77">
        <v>0.51700000000000002</v>
      </c>
      <c r="D77">
        <v>0.23100000000000001</v>
      </c>
      <c r="E77">
        <v>0.17299999999999999</v>
      </c>
      <c r="G77" s="11" t="s">
        <v>37</v>
      </c>
      <c r="H77">
        <v>0.20830000000000001</v>
      </c>
    </row>
    <row r="78" spans="2:8">
      <c r="B78">
        <v>7</v>
      </c>
      <c r="C78">
        <v>0.435</v>
      </c>
      <c r="D78">
        <v>0.16800000000000001</v>
      </c>
      <c r="E78">
        <v>0.219</v>
      </c>
    </row>
    <row r="79" spans="2:8">
      <c r="B79">
        <v>8</v>
      </c>
      <c r="C79">
        <v>0.443</v>
      </c>
      <c r="D79">
        <v>0.247</v>
      </c>
      <c r="E79">
        <v>0.24</v>
      </c>
    </row>
    <row r="80" spans="2:8">
      <c r="B80">
        <v>9</v>
      </c>
      <c r="C80">
        <v>0.48899999999999999</v>
      </c>
      <c r="D80">
        <v>0.22500000000000001</v>
      </c>
      <c r="E80">
        <v>0.20200000000000001</v>
      </c>
    </row>
    <row r="81" spans="2:7">
      <c r="B81">
        <v>10</v>
      </c>
      <c r="C81">
        <v>0.495</v>
      </c>
      <c r="D81">
        <v>0.20799999999999999</v>
      </c>
      <c r="E81">
        <v>0.189</v>
      </c>
    </row>
    <row r="82" spans="2:7">
      <c r="B82" t="s">
        <v>9</v>
      </c>
      <c r="C82">
        <f>AVERAGE(C72:C81)</f>
        <v>0.48710000000000003</v>
      </c>
      <c r="D82">
        <f>AVERAGE(D72:D81)</f>
        <v>0.20250000000000004</v>
      </c>
      <c r="E82">
        <f>AVERAGE(E72:E81)</f>
        <v>0.20830000000000001</v>
      </c>
    </row>
    <row r="83" spans="2:7">
      <c r="B83" t="s">
        <v>29</v>
      </c>
      <c r="C83">
        <f>STDEV(C72:C81)</f>
        <v>3.1914643103821964E-2</v>
      </c>
      <c r="D83">
        <f t="shared" ref="D83:E83" si="22">STDEV(D72:D81)</f>
        <v>3.0211292958465138E-2</v>
      </c>
      <c r="E83">
        <f t="shared" si="22"/>
        <v>3.1059262350831326E-2</v>
      </c>
    </row>
    <row r="84" spans="2:7">
      <c r="B84" t="s">
        <v>30</v>
      </c>
      <c r="D84">
        <f>TTEST(C72:C81,D72:D81,2,3)</f>
        <v>6.803883692602462E-14</v>
      </c>
      <c r="E84">
        <f>TTEST(C72:C81,E72:E81,2,3)</f>
        <v>1.1653353006299083E-13</v>
      </c>
    </row>
    <row r="87" spans="2:7" ht="17.25">
      <c r="B87" s="3" t="s">
        <v>31</v>
      </c>
    </row>
    <row r="88" spans="2:7">
      <c r="B88" t="s">
        <v>8</v>
      </c>
      <c r="C88" s="11" t="s">
        <v>38</v>
      </c>
      <c r="D88" s="11" t="s">
        <v>39</v>
      </c>
    </row>
    <row r="89" spans="2:7">
      <c r="B89">
        <v>1</v>
      </c>
      <c r="C89">
        <v>0.48899999999999999</v>
      </c>
      <c r="D89">
        <v>0.19800000000000001</v>
      </c>
    </row>
    <row r="90" spans="2:7">
      <c r="B90">
        <v>2</v>
      </c>
      <c r="C90">
        <v>0.60199999999999998</v>
      </c>
      <c r="D90">
        <v>0.20599999999999999</v>
      </c>
    </row>
    <row r="91" spans="2:7">
      <c r="B91">
        <v>3</v>
      </c>
      <c r="C91">
        <v>0.58699999999999997</v>
      </c>
      <c r="D91">
        <v>0.158</v>
      </c>
      <c r="F91" s="11" t="s">
        <v>38</v>
      </c>
      <c r="G91">
        <v>0.51960000000000006</v>
      </c>
    </row>
    <row r="92" spans="2:7">
      <c r="B92">
        <v>4</v>
      </c>
      <c r="C92">
        <v>0.50600000000000001</v>
      </c>
      <c r="D92">
        <v>0.13900000000000001</v>
      </c>
      <c r="F92" s="11" t="s">
        <v>39</v>
      </c>
      <c r="G92">
        <v>0.19530000000000003</v>
      </c>
    </row>
    <row r="93" spans="2:7">
      <c r="B93">
        <v>5</v>
      </c>
      <c r="C93">
        <v>0.46700000000000003</v>
      </c>
      <c r="D93">
        <v>0.17599999999999999</v>
      </c>
    </row>
    <row r="94" spans="2:7">
      <c r="B94">
        <v>6</v>
      </c>
      <c r="C94">
        <v>0.55100000000000005</v>
      </c>
      <c r="D94">
        <v>0.20300000000000001</v>
      </c>
    </row>
    <row r="95" spans="2:7">
      <c r="B95">
        <v>7</v>
      </c>
      <c r="C95">
        <v>0.57899999999999996</v>
      </c>
      <c r="D95">
        <v>0.26800000000000002</v>
      </c>
    </row>
    <row r="96" spans="2:7">
      <c r="B96">
        <v>8</v>
      </c>
      <c r="C96">
        <v>0.442</v>
      </c>
      <c r="D96">
        <v>0.19900000000000001</v>
      </c>
    </row>
    <row r="97" spans="2:4">
      <c r="B97">
        <v>9</v>
      </c>
      <c r="C97">
        <v>0.50800000000000001</v>
      </c>
      <c r="D97">
        <v>0.21299999999999999</v>
      </c>
    </row>
    <row r="98" spans="2:4">
      <c r="B98">
        <v>10</v>
      </c>
      <c r="C98">
        <v>0.46500000000000002</v>
      </c>
      <c r="D98">
        <v>0.193</v>
      </c>
    </row>
    <row r="99" spans="2:4">
      <c r="B99" t="s">
        <v>9</v>
      </c>
      <c r="C99">
        <f>AVERAGE(C89:C98)</f>
        <v>0.51960000000000006</v>
      </c>
      <c r="D99">
        <f>AVERAGE(D89:D98)</f>
        <v>0.19530000000000003</v>
      </c>
    </row>
    <row r="100" spans="2:4">
      <c r="B100" t="s">
        <v>29</v>
      </c>
      <c r="C100">
        <f>STDEV(C89:C98)</f>
        <v>5.6639601379638936E-2</v>
      </c>
      <c r="D100">
        <f>STDEV(D89:D98)</f>
        <v>3.4531949779234003E-2</v>
      </c>
    </row>
    <row r="101" spans="2:4">
      <c r="B101" t="s">
        <v>30</v>
      </c>
      <c r="D101">
        <f>TTEST(D89:D98,C89:C98,2,3)</f>
        <v>1.4265014207731793E-10</v>
      </c>
    </row>
  </sheetData>
  <mergeCells count="24">
    <mergeCell ref="AS19:AU19"/>
    <mergeCell ref="AV19:AX19"/>
    <mergeCell ref="AJ36:AL36"/>
    <mergeCell ref="AM36:AO36"/>
    <mergeCell ref="AP36:AR36"/>
    <mergeCell ref="AS36:AU36"/>
    <mergeCell ref="AV36:AX36"/>
    <mergeCell ref="U2:V2"/>
    <mergeCell ref="W2:X2"/>
    <mergeCell ref="AJ19:AL19"/>
    <mergeCell ref="AM19:AO19"/>
    <mergeCell ref="AP19:AR19"/>
    <mergeCell ref="C36:E36"/>
    <mergeCell ref="F36:H36"/>
    <mergeCell ref="I36:K36"/>
    <mergeCell ref="L36:N36"/>
    <mergeCell ref="O36:Q36"/>
    <mergeCell ref="L19:N19"/>
    <mergeCell ref="O19:Q19"/>
    <mergeCell ref="C2:D2"/>
    <mergeCell ref="E2:F2"/>
    <mergeCell ref="C19:E19"/>
    <mergeCell ref="F19:H19"/>
    <mergeCell ref="I19:K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RowHeight="15"/>
  <sheetData>
    <row r="1" spans="1:6">
      <c r="A1" s="5"/>
      <c r="B1" s="5"/>
      <c r="C1" s="5"/>
      <c r="D1" s="5"/>
      <c r="E1" s="5"/>
      <c r="F1" s="5"/>
    </row>
    <row r="2" spans="1:6">
      <c r="A2" s="5"/>
      <c r="B2" s="5"/>
      <c r="C2" s="5"/>
      <c r="D2" s="5"/>
      <c r="E2" s="5"/>
      <c r="F2" s="5"/>
    </row>
    <row r="3" spans="1:6">
      <c r="A3" s="5"/>
      <c r="B3" s="5"/>
      <c r="C3" s="5"/>
      <c r="D3" s="5"/>
      <c r="E3" s="5"/>
      <c r="F3" s="5"/>
    </row>
    <row r="4" spans="1:6">
      <c r="A4" s="5"/>
      <c r="B4" s="5"/>
      <c r="C4" s="5"/>
      <c r="D4" s="5"/>
      <c r="E4" s="5"/>
      <c r="F4" s="5"/>
    </row>
    <row r="5" spans="1:6">
      <c r="A5" s="5"/>
      <c r="B5" s="5"/>
      <c r="C5" s="5"/>
      <c r="D5" s="5"/>
      <c r="E5" s="5"/>
      <c r="F5" s="5"/>
    </row>
    <row r="6" spans="1:6">
      <c r="A6" s="5"/>
      <c r="B6" s="5"/>
      <c r="C6" s="5"/>
      <c r="D6" s="5"/>
      <c r="E6" s="5"/>
      <c r="F6" s="5"/>
    </row>
    <row r="7" spans="1:6">
      <c r="A7" s="5"/>
      <c r="B7" s="5"/>
      <c r="C7" s="5"/>
      <c r="D7" s="5"/>
      <c r="E7" s="5"/>
      <c r="F7" s="5"/>
    </row>
    <row r="8" spans="1:6">
      <c r="A8" s="5"/>
      <c r="B8" s="5"/>
      <c r="C8" s="5"/>
      <c r="D8" s="5"/>
      <c r="E8" s="5"/>
      <c r="F8" s="5"/>
    </row>
    <row r="9" spans="1:6">
      <c r="A9" s="5"/>
      <c r="B9" s="5"/>
      <c r="C9" s="5"/>
      <c r="D9" s="5"/>
      <c r="E9" s="5"/>
      <c r="F9" s="5"/>
    </row>
    <row r="10" spans="1:6">
      <c r="A10" s="5"/>
      <c r="B10" s="5"/>
      <c r="C10" s="5"/>
      <c r="D10" s="5"/>
      <c r="E10" s="5"/>
      <c r="F1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iiser</dc:creator>
  <cp:lastModifiedBy>iiser</cp:lastModifiedBy>
  <dcterms:created xsi:type="dcterms:W3CDTF">2020-03-02T04:49:49Z</dcterms:created>
  <dcterms:modified xsi:type="dcterms:W3CDTF">2020-04-07T19:21:34Z</dcterms:modified>
</cp:coreProperties>
</file>