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3" i="1"/>
  <c r="D12"/>
  <c r="D8"/>
  <c r="G30"/>
  <c r="H28"/>
  <c r="H27"/>
  <c r="H25"/>
  <c r="H22"/>
  <c r="H30"/>
  <c r="H29"/>
  <c r="H24"/>
  <c r="G25"/>
  <c r="G22"/>
  <c r="G31"/>
  <c r="G29"/>
  <c r="G27"/>
  <c r="G26"/>
  <c r="H26"/>
  <c r="H31"/>
  <c r="G24"/>
  <c r="G23"/>
  <c r="F26"/>
  <c r="F24"/>
  <c r="F33" s="1"/>
  <c r="F23"/>
  <c r="F22"/>
  <c r="F32" s="1"/>
  <c r="F31"/>
  <c r="F30"/>
  <c r="F29"/>
  <c r="G28"/>
  <c r="F28"/>
  <c r="F27"/>
  <c r="F25"/>
  <c r="H23"/>
  <c r="D23"/>
  <c r="D29"/>
  <c r="D25"/>
  <c r="D22"/>
  <c r="D33" s="1"/>
  <c r="D31"/>
  <c r="D28"/>
  <c r="E26"/>
  <c r="C26"/>
  <c r="D27"/>
  <c r="E29"/>
  <c r="E28"/>
  <c r="C27"/>
  <c r="E24"/>
  <c r="D26"/>
  <c r="C31"/>
  <c r="C24"/>
  <c r="C29"/>
  <c r="C13"/>
  <c r="C12"/>
  <c r="D11"/>
  <c r="C11"/>
  <c r="D10"/>
  <c r="C10"/>
  <c r="D9"/>
  <c r="C9"/>
  <c r="C8"/>
  <c r="D7"/>
  <c r="D15" s="1"/>
  <c r="D6"/>
  <c r="C7"/>
  <c r="D5"/>
  <c r="C6"/>
  <c r="C5"/>
  <c r="C14" s="1"/>
  <c r="D4"/>
  <c r="C4"/>
  <c r="C22"/>
  <c r="C33" s="1"/>
  <c r="E31"/>
  <c r="C30"/>
  <c r="D30"/>
  <c r="E30"/>
  <c r="C28"/>
  <c r="E27"/>
  <c r="E25"/>
  <c r="C25"/>
  <c r="D24"/>
  <c r="E23"/>
  <c r="C23"/>
  <c r="E22"/>
  <c r="E32" s="1"/>
  <c r="E33" l="1"/>
  <c r="C15"/>
  <c r="D14"/>
  <c r="H33"/>
  <c r="G33"/>
  <c r="G32"/>
  <c r="H32"/>
  <c r="C32"/>
  <c r="D32"/>
  <c r="D16"/>
  <c r="H34"/>
  <c r="G34"/>
  <c r="F34"/>
</calcChain>
</file>

<file path=xl/sharedStrings.xml><?xml version="1.0" encoding="utf-8"?>
<sst xmlns="http://schemas.openxmlformats.org/spreadsheetml/2006/main" count="35" uniqueCount="18">
  <si>
    <t>n</t>
  </si>
  <si>
    <t>Average</t>
  </si>
  <si>
    <t>Standard Deviation</t>
  </si>
  <si>
    <t>Student's t-test</t>
  </si>
  <si>
    <t>Red</t>
  </si>
  <si>
    <t>Green</t>
  </si>
  <si>
    <t>Yellow</t>
  </si>
  <si>
    <t>Red(S)</t>
  </si>
  <si>
    <t>Green(G1)</t>
  </si>
  <si>
    <t>Yellow(G2/M)</t>
  </si>
  <si>
    <t>dome&gt;GFP</t>
  </si>
  <si>
    <r>
      <t>dome&gt;GFP;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</si>
  <si>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t>dome &gt; FUCCI</t>
  </si>
  <si>
    <t>dome &gt; FUCCI&gt;whd RNAi</t>
  </si>
  <si>
    <t>dome&gt;FUCCI</t>
  </si>
  <si>
    <t>dome&gt;FUCCI&gt;whd RNAi</t>
  </si>
  <si>
    <t>Ratio of EdU+ progenitors with respect to total number of Hoechst+ cells per primary lobe</t>
  </si>
  <si>
    <t>Ratio of FUCCI+ progenitors with respect to total number of Hoechst+ cells per primary lobe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</si>
</sst>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i/>
      <sz val="11"/>
      <color rgb="FFFF0000"/>
      <name val="Calibri"/>
      <family val="2"/>
      <scheme val="minor"/>
    </font>
    <font>
      <b/>
      <i/>
      <vertAlign val="superscript"/>
      <sz val="11"/>
      <color rgb="FFFF0000"/>
      <name val="Cambria"/>
      <family val="1"/>
      <scheme val="maj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A7146"/>
      <color rgb="FFFFFF1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7568267127865848"/>
          <c:y val="5.1400554097404488E-2"/>
          <c:w val="0.6937618625256784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A7146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Sheet1!$C$15:$D$15</c:f>
                <c:numCache>
                  <c:formatCode>General</c:formatCode>
                  <c:ptCount val="2"/>
                  <c:pt idx="0">
                    <c:v>1.5018619543467079E-3</c:v>
                  </c:pt>
                  <c:pt idx="1">
                    <c:v>1.1751133312230993E-2</c:v>
                  </c:pt>
                </c:numCache>
              </c:numRef>
            </c:plus>
            <c:minus>
              <c:numRef>
                <c:f>Sheet1!$C$15:$D$15</c:f>
                <c:numCache>
                  <c:formatCode>General</c:formatCode>
                  <c:ptCount val="2"/>
                  <c:pt idx="0">
                    <c:v>1.5018619543467079E-3</c:v>
                  </c:pt>
                  <c:pt idx="1">
                    <c:v>1.1751133312230993E-2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Sheet1!$G$6:$G$7</c:f>
              <c:strCache>
                <c:ptCount val="2"/>
                <c:pt idx="0">
                  <c:v>dome&gt;GFP</c:v>
                </c:pt>
                <c:pt idx="1">
                  <c:v>dome&gt;GFP; whd1/whd1</c:v>
                </c:pt>
              </c:strCache>
            </c:strRef>
          </c:cat>
          <c:val>
            <c:numRef>
              <c:f>Sheet1!$H$6:$H$7</c:f>
              <c:numCache>
                <c:formatCode>General</c:formatCode>
                <c:ptCount val="2"/>
                <c:pt idx="0">
                  <c:v>4.3465971620834229E-3</c:v>
                </c:pt>
                <c:pt idx="1">
                  <c:v>4.4018904328394476E-2</c:v>
                </c:pt>
              </c:numCache>
            </c:numRef>
          </c:val>
        </c:ser>
        <c:gapWidth val="100"/>
        <c:axId val="70711168"/>
        <c:axId val="70712704"/>
      </c:barChart>
      <c:catAx>
        <c:axId val="7071116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70712704"/>
        <c:crosses val="autoZero"/>
        <c:auto val="1"/>
        <c:lblAlgn val="ctr"/>
        <c:lblOffset val="100"/>
      </c:catAx>
      <c:valAx>
        <c:axId val="70712704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70711168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pieChart>
        <c:varyColors val="1"/>
        <c:ser>
          <c:idx val="0"/>
          <c:order val="0"/>
          <c:spPr>
            <a:ln w="25400">
              <a:solidFill>
                <a:sysClr val="windowText" lastClr="000000"/>
              </a:solidFill>
            </a:ln>
            <a:scene3d>
              <a:camera prst="orthographicFront"/>
              <a:lightRig rig="threePt" dir="t"/>
            </a:scene3d>
            <a:sp3d prstMaterial="metal"/>
          </c:spPr>
          <c:dPt>
            <c:idx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metal"/>
            </c:spPr>
          </c:dPt>
          <c:dPt>
            <c:idx val="1"/>
            <c:spPr>
              <a:solidFill>
                <a:srgbClr val="00B050"/>
              </a:solidFill>
              <a:ln w="25400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metal"/>
            </c:spPr>
          </c:dPt>
          <c:dPt>
            <c:idx val="2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metal"/>
            </c:spPr>
          </c:dPt>
          <c:dLbls>
            <c:txPr>
              <a:bodyPr/>
              <a:lstStyle/>
              <a:p>
                <a:pPr>
                  <a:defRPr lang="en-US" sz="1400" b="1">
                    <a:latin typeface="Arial Black" pitchFamily="34" charset="0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Sheet1!$L$21:$N$21</c:f>
              <c:strCache>
                <c:ptCount val="3"/>
                <c:pt idx="0">
                  <c:v>Red</c:v>
                </c:pt>
                <c:pt idx="1">
                  <c:v>Green</c:v>
                </c:pt>
                <c:pt idx="2">
                  <c:v>Yellow</c:v>
                </c:pt>
              </c:strCache>
            </c:strRef>
          </c:cat>
          <c:val>
            <c:numRef>
              <c:f>Sheet1!$L$22:$N$22</c:f>
              <c:numCache>
                <c:formatCode>General</c:formatCode>
                <c:ptCount val="3"/>
                <c:pt idx="0">
                  <c:v>4.3375560816101014E-2</c:v>
                </c:pt>
                <c:pt idx="1">
                  <c:v>4.5469507829668201E-2</c:v>
                </c:pt>
                <c:pt idx="2">
                  <c:v>0.20311799334866229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pieChart>
        <c:varyColors val="1"/>
        <c:ser>
          <c:idx val="0"/>
          <c:order val="0"/>
          <c:spPr>
            <a:ln w="25400"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00B050"/>
              </a:solidFill>
              <a:ln w="25400"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</c:spPr>
          </c:dPt>
          <c:dLbls>
            <c:txPr>
              <a:bodyPr/>
              <a:lstStyle/>
              <a:p>
                <a:pPr>
                  <a:defRPr lang="en-US" sz="1400" b="1">
                    <a:latin typeface="Arial Black" pitchFamily="34" charset="0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Sheet1!$R$21:$T$21</c:f>
              <c:strCache>
                <c:ptCount val="3"/>
                <c:pt idx="0">
                  <c:v>Red</c:v>
                </c:pt>
                <c:pt idx="1">
                  <c:v>Green</c:v>
                </c:pt>
                <c:pt idx="2">
                  <c:v>Yellow</c:v>
                </c:pt>
              </c:strCache>
            </c:strRef>
          </c:cat>
          <c:val>
            <c:numRef>
              <c:f>Sheet1!$R$22:$T$22</c:f>
              <c:numCache>
                <c:formatCode>General</c:formatCode>
                <c:ptCount val="3"/>
                <c:pt idx="0">
                  <c:v>0.24497118255031175</c:v>
                </c:pt>
                <c:pt idx="1">
                  <c:v>0.13296179965683441</c:v>
                </c:pt>
                <c:pt idx="2">
                  <c:v>0.11191206250136229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9445530505528041"/>
          <c:y val="5.1400554097404488E-2"/>
          <c:w val="0.51373298472490281"/>
          <c:h val="0.79822506561679785"/>
        </c:manualLayout>
      </c:layout>
      <c:barChart>
        <c:barDir val="col"/>
        <c:grouping val="clustered"/>
        <c:ser>
          <c:idx val="0"/>
          <c:order val="0"/>
          <c:tx>
            <c:strRef>
              <c:f>Sheet1!$W$19</c:f>
              <c:strCache>
                <c:ptCount val="1"/>
                <c:pt idx="0">
                  <c:v>dome&gt;FUCCI</c:v>
                </c:pt>
              </c:strCache>
            </c:strRef>
          </c:tx>
          <c:errBars>
            <c:errBarType val="both"/>
            <c:errValType val="cust"/>
            <c:plus>
              <c:numRef>
                <c:f>Sheet1!$C$33:$E$33</c:f>
                <c:numCache>
                  <c:formatCode>General</c:formatCode>
                  <c:ptCount val="3"/>
                  <c:pt idx="0">
                    <c:v>1.0085764021941534E-2</c:v>
                  </c:pt>
                  <c:pt idx="1">
                    <c:v>9.6427707829959269E-3</c:v>
                  </c:pt>
                  <c:pt idx="2">
                    <c:v>2.9557039598439847E-2</c:v>
                  </c:pt>
                </c:numCache>
              </c:numRef>
            </c:plus>
            <c:minus>
              <c:numRef>
                <c:f>Sheet1!$C$33:$E$33</c:f>
                <c:numCache>
                  <c:formatCode>General</c:formatCode>
                  <c:ptCount val="3"/>
                  <c:pt idx="0">
                    <c:v>1.0085764021941534E-2</c:v>
                  </c:pt>
                  <c:pt idx="1">
                    <c:v>9.6427707829959269E-3</c:v>
                  </c:pt>
                  <c:pt idx="2">
                    <c:v>2.9557039598439847E-2</c:v>
                  </c:pt>
                </c:numCache>
              </c:numRef>
            </c:minus>
            <c:spPr>
              <a:ln w="1905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Sheet1!$X$18:$Z$18</c:f>
              <c:strCache>
                <c:ptCount val="3"/>
                <c:pt idx="0">
                  <c:v>Red(S)</c:v>
                </c:pt>
                <c:pt idx="1">
                  <c:v>Green(G1)</c:v>
                </c:pt>
                <c:pt idx="2">
                  <c:v>Yellow(G2/M)</c:v>
                </c:pt>
              </c:strCache>
            </c:strRef>
          </c:cat>
          <c:val>
            <c:numRef>
              <c:f>Sheet1!$X$19:$Z$19</c:f>
              <c:numCache>
                <c:formatCode>General</c:formatCode>
                <c:ptCount val="3"/>
                <c:pt idx="0">
                  <c:v>4.3375560816101014E-2</c:v>
                </c:pt>
                <c:pt idx="1">
                  <c:v>4.5469507829668201E-2</c:v>
                </c:pt>
                <c:pt idx="2">
                  <c:v>0.20311799334866229</c:v>
                </c:pt>
              </c:numCache>
            </c:numRef>
          </c:val>
        </c:ser>
        <c:ser>
          <c:idx val="1"/>
          <c:order val="1"/>
          <c:tx>
            <c:strRef>
              <c:f>Sheet1!$W$20</c:f>
              <c:strCache>
                <c:ptCount val="1"/>
                <c:pt idx="0">
                  <c:v>dome&gt;FUCCI&gt;whd RNAi</c:v>
                </c:pt>
              </c:strCache>
            </c:strRef>
          </c:tx>
          <c:errBars>
            <c:errBarType val="both"/>
            <c:errValType val="cust"/>
            <c:plus>
              <c:numRef>
                <c:f>Sheet1!$F$33:$H$33</c:f>
                <c:numCache>
                  <c:formatCode>General</c:formatCode>
                  <c:ptCount val="3"/>
                  <c:pt idx="0">
                    <c:v>2.4268945832851774E-2</c:v>
                  </c:pt>
                  <c:pt idx="1">
                    <c:v>4.7159168053073235E-2</c:v>
                  </c:pt>
                  <c:pt idx="2">
                    <c:v>3.8194075096353773E-2</c:v>
                  </c:pt>
                </c:numCache>
              </c:numRef>
            </c:plus>
            <c:minus>
              <c:numRef>
                <c:f>Sheet1!$F$33:$H$33</c:f>
                <c:numCache>
                  <c:formatCode>General</c:formatCode>
                  <c:ptCount val="3"/>
                  <c:pt idx="0">
                    <c:v>2.4268945832851774E-2</c:v>
                  </c:pt>
                  <c:pt idx="1">
                    <c:v>4.7159168053073235E-2</c:v>
                  </c:pt>
                  <c:pt idx="2">
                    <c:v>3.8194075096353773E-2</c:v>
                  </c:pt>
                </c:numCache>
              </c:numRef>
            </c:minus>
            <c:spPr>
              <a:ln w="1905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Sheet1!$X$18:$Z$18</c:f>
              <c:strCache>
                <c:ptCount val="3"/>
                <c:pt idx="0">
                  <c:v>Red(S)</c:v>
                </c:pt>
                <c:pt idx="1">
                  <c:v>Green(G1)</c:v>
                </c:pt>
                <c:pt idx="2">
                  <c:v>Yellow(G2/M)</c:v>
                </c:pt>
              </c:strCache>
            </c:strRef>
          </c:cat>
          <c:val>
            <c:numRef>
              <c:f>Sheet1!$X$20:$Z$20</c:f>
              <c:numCache>
                <c:formatCode>General</c:formatCode>
                <c:ptCount val="3"/>
                <c:pt idx="0">
                  <c:v>0.24497118255031175</c:v>
                </c:pt>
                <c:pt idx="1">
                  <c:v>0.13296179965683441</c:v>
                </c:pt>
                <c:pt idx="2">
                  <c:v>0.11191206250136229</c:v>
                </c:pt>
              </c:numCache>
            </c:numRef>
          </c:val>
        </c:ser>
        <c:gapWidth val="100"/>
        <c:axId val="74472448"/>
        <c:axId val="74478336"/>
      </c:barChart>
      <c:catAx>
        <c:axId val="74472448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4478336"/>
        <c:crosses val="autoZero"/>
        <c:auto val="1"/>
        <c:lblAlgn val="ctr"/>
        <c:lblOffset val="100"/>
      </c:catAx>
      <c:valAx>
        <c:axId val="7447833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447244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460376</xdr:colOff>
      <xdr:row>2</xdr:row>
      <xdr:rowOff>50471</xdr:rowOff>
    </xdr:from>
    <xdr:to>
      <xdr:col>15</xdr:col>
      <xdr:colOff>85398</xdr:colOff>
      <xdr:row>16</xdr:row>
      <xdr:rowOff>88570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295276</xdr:colOff>
      <xdr:row>22</xdr:row>
      <xdr:rowOff>47625</xdr:rowOff>
    </xdr:from>
    <xdr:to>
      <xdr:col>14</xdr:col>
      <xdr:colOff>504826</xdr:colOff>
      <xdr:row>36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38100</xdr:colOff>
      <xdr:row>22</xdr:row>
      <xdr:rowOff>47625</xdr:rowOff>
    </xdr:from>
    <xdr:to>
      <xdr:col>21</xdr:col>
      <xdr:colOff>219075</xdr:colOff>
      <xdr:row>36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311588</xdr:colOff>
      <xdr:row>2</xdr:row>
      <xdr:rowOff>126235</xdr:rowOff>
    </xdr:from>
    <xdr:to>
      <xdr:col>14</xdr:col>
      <xdr:colOff>140137</xdr:colOff>
      <xdr:row>3</xdr:row>
      <xdr:rowOff>83865</xdr:rowOff>
    </xdr:to>
    <xdr:sp macro="" textlink="">
      <xdr:nvSpPr>
        <xdr:cNvPr id="9" name="TextBox 8"/>
        <xdr:cNvSpPr txBox="1"/>
      </xdr:nvSpPr>
      <xdr:spPr>
        <a:xfrm>
          <a:off x="8654174" y="498476"/>
          <a:ext cx="441653" cy="1765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21</xdr:col>
      <xdr:colOff>542926</xdr:colOff>
      <xdr:row>21</xdr:row>
      <xdr:rowOff>171449</xdr:rowOff>
    </xdr:from>
    <xdr:to>
      <xdr:col>31</xdr:col>
      <xdr:colOff>209550</xdr:colOff>
      <xdr:row>37</xdr:row>
      <xdr:rowOff>104774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260232</xdr:colOff>
      <xdr:row>22</xdr:row>
      <xdr:rowOff>99208</xdr:rowOff>
    </xdr:from>
    <xdr:to>
      <xdr:col>25</xdr:col>
      <xdr:colOff>84386</xdr:colOff>
      <xdr:row>23</xdr:row>
      <xdr:rowOff>55248</xdr:rowOff>
    </xdr:to>
    <xdr:sp macro="" textlink="">
      <xdr:nvSpPr>
        <xdr:cNvPr id="12" name="TextBox 11"/>
        <xdr:cNvSpPr txBox="1"/>
      </xdr:nvSpPr>
      <xdr:spPr>
        <a:xfrm>
          <a:off x="15346956" y="7270329"/>
          <a:ext cx="437258" cy="1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27</xdr:col>
      <xdr:colOff>438236</xdr:colOff>
      <xdr:row>27</xdr:row>
      <xdr:rowOff>27929</xdr:rowOff>
    </xdr:from>
    <xdr:to>
      <xdr:col>28</xdr:col>
      <xdr:colOff>262390</xdr:colOff>
      <xdr:row>28</xdr:row>
      <xdr:rowOff>51374</xdr:rowOff>
    </xdr:to>
    <xdr:sp macro="" textlink="">
      <xdr:nvSpPr>
        <xdr:cNvPr id="13" name="TextBox 12"/>
        <xdr:cNvSpPr txBox="1"/>
      </xdr:nvSpPr>
      <xdr:spPr>
        <a:xfrm>
          <a:off x="17364270" y="5118877"/>
          <a:ext cx="437258" cy="20956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26</xdr:col>
      <xdr:colOff>54741</xdr:colOff>
      <xdr:row>25</xdr:row>
      <xdr:rowOff>164223</xdr:rowOff>
    </xdr:from>
    <xdr:to>
      <xdr:col>26</xdr:col>
      <xdr:colOff>470776</xdr:colOff>
      <xdr:row>26</xdr:row>
      <xdr:rowOff>157319</xdr:rowOff>
    </xdr:to>
    <xdr:sp macro="" textlink="">
      <xdr:nvSpPr>
        <xdr:cNvPr id="15" name="TextBox 14"/>
        <xdr:cNvSpPr txBox="1"/>
      </xdr:nvSpPr>
      <xdr:spPr>
        <a:xfrm>
          <a:off x="16367672" y="4882930"/>
          <a:ext cx="416035" cy="1792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8</xdr:col>
      <xdr:colOff>509095</xdr:colOff>
      <xdr:row>2</xdr:row>
      <xdr:rowOff>109483</xdr:rowOff>
    </xdr:from>
    <xdr:to>
      <xdr:col>9</xdr:col>
      <xdr:colOff>465303</xdr:colOff>
      <xdr:row>14</xdr:row>
      <xdr:rowOff>147802</xdr:rowOff>
    </xdr:to>
    <xdr:sp macro="" textlink="">
      <xdr:nvSpPr>
        <xdr:cNvPr id="10" name="TextBox 9"/>
        <xdr:cNvSpPr txBox="1"/>
      </xdr:nvSpPr>
      <xdr:spPr>
        <a:xfrm rot="16200000">
          <a:off x="4902091" y="1365797"/>
          <a:ext cx="2337457" cy="569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Ratio of EdU+ progenitors with respect to total number of Hoechst+ cells per primary lobe</a:t>
          </a:r>
        </a:p>
      </xdr:txBody>
    </xdr:sp>
    <xdr:clientData/>
  </xdr:twoCellAnchor>
  <xdr:twoCellAnchor>
    <xdr:from>
      <xdr:col>22</xdr:col>
      <xdr:colOff>57152</xdr:colOff>
      <xdr:row>22</xdr:row>
      <xdr:rowOff>9522</xdr:rowOff>
    </xdr:from>
    <xdr:to>
      <xdr:col>23</xdr:col>
      <xdr:colOff>4</xdr:colOff>
      <xdr:row>37</xdr:row>
      <xdr:rowOff>47624</xdr:rowOff>
    </xdr:to>
    <xdr:sp macro="" textlink="">
      <xdr:nvSpPr>
        <xdr:cNvPr id="14" name="TextBox 13"/>
        <xdr:cNvSpPr txBox="1"/>
      </xdr:nvSpPr>
      <xdr:spPr>
        <a:xfrm rot="16200000">
          <a:off x="12677777" y="5429247"/>
          <a:ext cx="2895602" cy="552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Ratio of FUCCI+ progenitors with respect to total number of Hoechst+ cells per primary lobe</a:t>
          </a:r>
          <a:r>
            <a:rPr lang="en-IN"/>
            <a:t> </a:t>
          </a:r>
          <a:endParaRPr lang="en-IN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59"/>
  <sheetViews>
    <sheetView tabSelected="1" topLeftCell="A13" workbookViewId="0">
      <selection activeCell="X41" sqref="X41"/>
    </sheetView>
  </sheetViews>
  <sheetFormatPr defaultRowHeight="15"/>
  <cols>
    <col min="4" max="4" width="12" bestFit="1" customWidth="1"/>
    <col min="6" max="6" width="12" bestFit="1" customWidth="1"/>
  </cols>
  <sheetData>
    <row r="2" spans="2:19">
      <c r="B2" s="5" t="s">
        <v>16</v>
      </c>
    </row>
    <row r="3" spans="2:19" ht="17.25">
      <c r="B3" s="1" t="s">
        <v>0</v>
      </c>
      <c r="C3" s="2" t="s">
        <v>10</v>
      </c>
      <c r="D3" s="2" t="s">
        <v>11</v>
      </c>
    </row>
    <row r="4" spans="2:19">
      <c r="B4" s="1">
        <v>1</v>
      </c>
      <c r="C4" s="1">
        <f>9/3128</f>
        <v>2.8772378516624042E-3</v>
      </c>
      <c r="D4" s="1">
        <f>159/3528</f>
        <v>4.5068027210884355E-2</v>
      </c>
    </row>
    <row r="5" spans="2:19">
      <c r="B5" s="1">
        <v>2</v>
      </c>
      <c r="C5" s="1">
        <f>11/3245</f>
        <v>3.3898305084745762E-3</v>
      </c>
      <c r="D5" s="1">
        <f>128/3645</f>
        <v>3.5116598079561044E-2</v>
      </c>
    </row>
    <row r="6" spans="2:19">
      <c r="B6" s="1">
        <v>3</v>
      </c>
      <c r="C6" s="1">
        <f>21/3556</f>
        <v>5.905511811023622E-3</v>
      </c>
      <c r="D6" s="1">
        <f>148/3528</f>
        <v>4.195011337868481E-2</v>
      </c>
      <c r="G6" s="2" t="s">
        <v>10</v>
      </c>
      <c r="H6">
        <v>4.3465971620834229E-3</v>
      </c>
    </row>
    <row r="7" spans="2:19" ht="17.25">
      <c r="B7" s="1">
        <v>4</v>
      </c>
      <c r="C7" s="1">
        <f>20/3445</f>
        <v>5.8055152394775036E-3</v>
      </c>
      <c r="D7" s="1">
        <f>142/3669</f>
        <v>3.8702643772144996E-2</v>
      </c>
      <c r="G7" s="2" t="s">
        <v>11</v>
      </c>
      <c r="H7">
        <v>4.4018904328394476E-2</v>
      </c>
    </row>
    <row r="8" spans="2:19">
      <c r="B8" s="1">
        <v>5</v>
      </c>
      <c r="C8" s="1">
        <f>13/3423</f>
        <v>3.7978381536663743E-3</v>
      </c>
      <c r="D8" s="1">
        <f>97/3423</f>
        <v>2.833771545427987E-2</v>
      </c>
    </row>
    <row r="9" spans="2:19">
      <c r="B9" s="1">
        <v>6</v>
      </c>
      <c r="C9" s="1">
        <f>18/3870</f>
        <v>4.6511627906976744E-3</v>
      </c>
      <c r="D9" s="1">
        <f>87/3108</f>
        <v>2.7992277992277992E-2</v>
      </c>
    </row>
    <row r="10" spans="2:19">
      <c r="B10" s="1">
        <v>7</v>
      </c>
      <c r="C10" s="1">
        <f>24/3805</f>
        <v>6.3074901445466488E-3</v>
      </c>
      <c r="D10" s="1">
        <f>197/3770</f>
        <v>5.2254641909814326E-2</v>
      </c>
    </row>
    <row r="11" spans="2:19">
      <c r="B11" s="1">
        <v>8</v>
      </c>
      <c r="C11" s="1">
        <f>9/3280</f>
        <v>2.7439024390243901E-3</v>
      </c>
      <c r="D11" s="1">
        <f>187/3660</f>
        <v>5.1092896174863386E-2</v>
      </c>
    </row>
    <row r="12" spans="2:19">
      <c r="B12" s="1">
        <v>9</v>
      </c>
      <c r="C12" s="1">
        <f>22/3881</f>
        <v>5.6686421025508886E-3</v>
      </c>
      <c r="D12" s="1">
        <f>208/3358</f>
        <v>6.1941631923764146E-2</v>
      </c>
    </row>
    <row r="13" spans="2:19">
      <c r="B13" s="1">
        <v>10</v>
      </c>
      <c r="C13" s="1">
        <f>8/3450</f>
        <v>2.3188405797101449E-3</v>
      </c>
      <c r="D13" s="1">
        <f>221/3828</f>
        <v>5.77324973876698E-2</v>
      </c>
      <c r="S13" s="1"/>
    </row>
    <row r="14" spans="2:19">
      <c r="B14" s="3" t="s">
        <v>1</v>
      </c>
      <c r="C14" s="1">
        <f>AVERAGE(C4:C13)</f>
        <v>4.3465971620834229E-3</v>
      </c>
      <c r="D14" s="1">
        <f>AVERAGE(D4:D13)</f>
        <v>4.4018904328394476E-2</v>
      </c>
    </row>
    <row r="15" spans="2:19">
      <c r="B15" s="3" t="s">
        <v>2</v>
      </c>
      <c r="C15" s="1">
        <f>STDEV(C4:C13)</f>
        <v>1.5018619543467079E-3</v>
      </c>
      <c r="D15" s="1">
        <f>STDEV(D4:D13)</f>
        <v>1.1751133312230993E-2</v>
      </c>
    </row>
    <row r="16" spans="2:19">
      <c r="B16" s="3" t="s">
        <v>3</v>
      </c>
      <c r="C16" s="1"/>
      <c r="D16" s="1">
        <f>TTEST(D4:D13,C4:C13,2,3)</f>
        <v>1.7123043281138088E-6</v>
      </c>
    </row>
    <row r="18" spans="2:26">
      <c r="X18" s="1" t="s">
        <v>7</v>
      </c>
      <c r="Y18" s="1" t="s">
        <v>8</v>
      </c>
      <c r="Z18" s="1" t="s">
        <v>9</v>
      </c>
    </row>
    <row r="19" spans="2:26">
      <c r="B19" s="5" t="s">
        <v>17</v>
      </c>
      <c r="W19" s="4" t="s">
        <v>14</v>
      </c>
      <c r="X19" s="1">
        <v>4.3375560816101014E-2</v>
      </c>
      <c r="Y19" s="1">
        <v>4.5469507829668201E-2</v>
      </c>
      <c r="Z19" s="1">
        <v>0.20311799334866229</v>
      </c>
    </row>
    <row r="20" spans="2:26">
      <c r="B20" s="1"/>
      <c r="C20" s="6" t="s">
        <v>12</v>
      </c>
      <c r="D20" s="7"/>
      <c r="E20" s="7"/>
      <c r="F20" s="6" t="s">
        <v>13</v>
      </c>
      <c r="G20" s="7"/>
      <c r="H20" s="7"/>
      <c r="I20" s="1"/>
      <c r="J20" s="1"/>
      <c r="K20" s="1"/>
      <c r="L20" s="6" t="s">
        <v>12</v>
      </c>
      <c r="M20" s="7"/>
      <c r="N20" s="7"/>
      <c r="O20" s="1"/>
      <c r="P20" s="1"/>
      <c r="Q20" s="1"/>
      <c r="R20" s="6" t="s">
        <v>13</v>
      </c>
      <c r="S20" s="7"/>
      <c r="T20" s="7"/>
      <c r="W20" s="4" t="s">
        <v>15</v>
      </c>
      <c r="X20" s="1">
        <v>0.24497118255031175</v>
      </c>
      <c r="Y20" s="1">
        <v>0.13296179965683441</v>
      </c>
      <c r="Z20" s="1">
        <v>0.11191206250136229</v>
      </c>
    </row>
    <row r="21" spans="2:26">
      <c r="B21" s="1" t="s">
        <v>0</v>
      </c>
      <c r="C21" s="1" t="s">
        <v>4</v>
      </c>
      <c r="D21" s="1" t="s">
        <v>5</v>
      </c>
      <c r="E21" s="1" t="s">
        <v>6</v>
      </c>
      <c r="F21" s="1" t="s">
        <v>4</v>
      </c>
      <c r="G21" s="1" t="s">
        <v>5</v>
      </c>
      <c r="H21" s="1" t="s">
        <v>6</v>
      </c>
      <c r="I21" s="1"/>
      <c r="J21" s="1"/>
      <c r="K21" s="1"/>
      <c r="L21" s="1" t="s">
        <v>4</v>
      </c>
      <c r="M21" s="1" t="s">
        <v>5</v>
      </c>
      <c r="N21" s="1" t="s">
        <v>6</v>
      </c>
      <c r="O21" s="1"/>
      <c r="P21" s="1"/>
      <c r="Q21" s="1"/>
      <c r="R21" s="1" t="s">
        <v>4</v>
      </c>
      <c r="S21" s="1" t="s">
        <v>5</v>
      </c>
      <c r="T21" s="1" t="s">
        <v>6</v>
      </c>
    </row>
    <row r="22" spans="2:26">
      <c r="B22" s="1">
        <v>1</v>
      </c>
      <c r="C22" s="1">
        <f>190/3190</f>
        <v>5.9561128526645767E-2</v>
      </c>
      <c r="D22" s="1">
        <f>71/3190</f>
        <v>2.2257053291536051E-2</v>
      </c>
      <c r="E22" s="1">
        <f>667/3190</f>
        <v>0.20909090909090908</v>
      </c>
      <c r="F22" s="1">
        <f>839/3548</f>
        <v>0.23647125140924463</v>
      </c>
      <c r="G22" s="1">
        <f>134/3548</f>
        <v>3.7767756482525366E-2</v>
      </c>
      <c r="H22" s="1">
        <f>325/3548</f>
        <v>9.1600901916572719E-2</v>
      </c>
      <c r="I22" s="1"/>
      <c r="J22" s="1"/>
      <c r="K22" s="1"/>
      <c r="L22" s="1">
        <v>4.3375560816101014E-2</v>
      </c>
      <c r="M22" s="1">
        <v>4.5469507829668201E-2</v>
      </c>
      <c r="N22" s="1">
        <v>0.20311799334866229</v>
      </c>
      <c r="O22" s="1"/>
      <c r="P22" s="1"/>
      <c r="Q22" s="1"/>
      <c r="R22" s="1">
        <v>0.24497118255031175</v>
      </c>
      <c r="S22" s="1">
        <v>0.13296179965683441</v>
      </c>
      <c r="T22" s="1">
        <v>0.11191206250136229</v>
      </c>
    </row>
    <row r="23" spans="2:26">
      <c r="B23" s="1">
        <v>2</v>
      </c>
      <c r="C23" s="1">
        <f>98/3289</f>
        <v>2.9796290665855884E-2</v>
      </c>
      <c r="D23" s="1">
        <f>193/3289</f>
        <v>5.8680449984797808E-2</v>
      </c>
      <c r="E23" s="1">
        <f>867/3289</f>
        <v>0.26360595925813318</v>
      </c>
      <c r="F23" s="1">
        <f>1003/3660</f>
        <v>0.27404371584699455</v>
      </c>
      <c r="G23" s="1">
        <f>487/3660</f>
        <v>0.13306010928961748</v>
      </c>
      <c r="H23" s="1">
        <f>245/3660</f>
        <v>6.6939890710382519E-2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6">
      <c r="B24" s="1">
        <v>3</v>
      </c>
      <c r="C24" s="1">
        <f>188/3670</f>
        <v>5.1226158038147139E-2</v>
      </c>
      <c r="D24" s="1">
        <f>160/3670</f>
        <v>4.3596730245231606E-2</v>
      </c>
      <c r="E24" s="1">
        <f>560/3670</f>
        <v>0.15258855585831063</v>
      </c>
      <c r="F24" s="1">
        <f>791/3921</f>
        <v>0.20173425146646265</v>
      </c>
      <c r="G24" s="1">
        <f>391/3921</f>
        <v>9.9719459321601631E-2</v>
      </c>
      <c r="H24" s="1">
        <f>656/3921</f>
        <v>0.16730425911757205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6">
      <c r="B25" s="1">
        <v>4</v>
      </c>
      <c r="C25" s="1">
        <f>120/3850</f>
        <v>3.1168831168831169E-2</v>
      </c>
      <c r="D25" s="1">
        <f>202/3850</f>
        <v>5.2467532467532468E-2</v>
      </c>
      <c r="E25" s="1">
        <f>789/3850</f>
        <v>0.20493506493506494</v>
      </c>
      <c r="F25" s="1">
        <f>895/3750</f>
        <v>0.23866666666666667</v>
      </c>
      <c r="G25" s="1">
        <f>589/3750</f>
        <v>0.15706666666666666</v>
      </c>
      <c r="H25" s="1">
        <f>305/3750</f>
        <v>8.1333333333333327E-2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6">
      <c r="B26" s="1">
        <v>5</v>
      </c>
      <c r="C26" s="1">
        <f>188/3568</f>
        <v>5.2690582959641255E-2</v>
      </c>
      <c r="D26" s="1">
        <f>159/3568</f>
        <v>4.4562780269058293E-2</v>
      </c>
      <c r="E26" s="1">
        <f>662/3568</f>
        <v>0.18553811659192826</v>
      </c>
      <c r="F26" s="1">
        <f>698/3112</f>
        <v>0.22429305912596401</v>
      </c>
      <c r="G26" s="1">
        <f>681/3112</f>
        <v>0.21883033419023137</v>
      </c>
      <c r="H26" s="1">
        <f>498/3112</f>
        <v>0.16002570694087404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6">
      <c r="B27" s="1">
        <v>6</v>
      </c>
      <c r="C27" s="1">
        <f>149/3912</f>
        <v>3.8087934560327198E-2</v>
      </c>
      <c r="D27" s="1">
        <f>208/3912</f>
        <v>5.3169734151329244E-2</v>
      </c>
      <c r="E27" s="1">
        <f>822/3912</f>
        <v>0.21012269938650308</v>
      </c>
      <c r="F27" s="1">
        <f>899/3762</f>
        <v>0.2389686337054758</v>
      </c>
      <c r="G27" s="1">
        <f>538/3762</f>
        <v>0.14300903774587986</v>
      </c>
      <c r="H27" s="1">
        <f>278/3762</f>
        <v>7.3896863370547586E-2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6">
      <c r="B28" s="1">
        <v>7</v>
      </c>
      <c r="C28" s="1">
        <f>129/3881</f>
        <v>3.3238855964957487E-2</v>
      </c>
      <c r="D28" s="1">
        <f>165/3881</f>
        <v>4.2514815769131666E-2</v>
      </c>
      <c r="E28" s="1">
        <f>682/3881</f>
        <v>0.17572790517907755</v>
      </c>
      <c r="F28" s="1">
        <f>918/3250</f>
        <v>0.28246153846153849</v>
      </c>
      <c r="G28" s="1">
        <f>338/3250</f>
        <v>0.104</v>
      </c>
      <c r="H28" s="1">
        <f>256/3250</f>
        <v>7.8769230769230772E-2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6">
      <c r="B29" s="1">
        <v>8</v>
      </c>
      <c r="C29" s="1">
        <f>189/4124</f>
        <v>4.5829291949563533E-2</v>
      </c>
      <c r="D29" s="1">
        <f>188/4124</f>
        <v>4.5586808923375362E-2</v>
      </c>
      <c r="E29" s="1">
        <f>852/4124</f>
        <v>0.20659553831231814</v>
      </c>
      <c r="F29" s="1">
        <f>785/3370</f>
        <v>0.23293768545994065</v>
      </c>
      <c r="G29" s="1">
        <f>492/3370</f>
        <v>0.14599406528189912</v>
      </c>
      <c r="H29" s="1">
        <f>409/3370</f>
        <v>0.12136498516320475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6">
      <c r="B30" s="1">
        <v>9</v>
      </c>
      <c r="C30" s="1">
        <f>196/3978</f>
        <v>4.9270990447461034E-2</v>
      </c>
      <c r="D30" s="1">
        <f>179/3978</f>
        <v>4.4997486173956762E-2</v>
      </c>
      <c r="E30" s="1">
        <f>894/3978</f>
        <v>0.22473604826546004</v>
      </c>
      <c r="F30" s="1">
        <f>973/3720</f>
        <v>0.26155913978494622</v>
      </c>
      <c r="G30" s="1">
        <f>598/3720</f>
        <v>0.16075268817204302</v>
      </c>
      <c r="H30" s="1">
        <f>561/3720</f>
        <v>0.15080645161290324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6">
      <c r="B31" s="1">
        <v>10</v>
      </c>
      <c r="C31" s="1">
        <f>151/3521</f>
        <v>4.2885543879579664E-2</v>
      </c>
      <c r="D31" s="1">
        <f>165/3521</f>
        <v>4.6861687020732748E-2</v>
      </c>
      <c r="E31" s="1">
        <f>698/3521</f>
        <v>0.19823913660891793</v>
      </c>
      <c r="F31" s="1">
        <f>995/3848</f>
        <v>0.25857588357588357</v>
      </c>
      <c r="G31" s="1">
        <f>498/3848</f>
        <v>0.12941787941787941</v>
      </c>
      <c r="H31" s="1">
        <f>489/3848</f>
        <v>0.12707900207900208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6">
      <c r="B32" s="1" t="s">
        <v>1</v>
      </c>
      <c r="C32" s="1">
        <f>AVERAGE(C22:C31)</f>
        <v>4.3375560816101014E-2</v>
      </c>
      <c r="D32" s="1">
        <f t="shared" ref="D32:E32" si="0">AVERAGE(D22:D31)</f>
        <v>4.5469507829668201E-2</v>
      </c>
      <c r="E32" s="1">
        <f t="shared" si="0"/>
        <v>0.20311799334866229</v>
      </c>
      <c r="F32" s="1">
        <f t="shared" ref="F32" si="1">AVERAGE(F22:F31)</f>
        <v>0.24497118255031175</v>
      </c>
      <c r="G32" s="1">
        <f t="shared" ref="G32" si="2">AVERAGE(G22:G31)</f>
        <v>0.13296179965683441</v>
      </c>
      <c r="H32" s="1">
        <f t="shared" ref="H32" si="3">AVERAGE(H22:H31)</f>
        <v>0.11191206250136229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>
      <c r="B33" s="1" t="s">
        <v>2</v>
      </c>
      <c r="C33" s="1">
        <f>STDEV(C22:C31)</f>
        <v>1.0085764021941534E-2</v>
      </c>
      <c r="D33" s="1">
        <f t="shared" ref="D33:H33" si="4">STDEV(D22:D31)</f>
        <v>9.6427707829959269E-3</v>
      </c>
      <c r="E33" s="1">
        <f t="shared" si="4"/>
        <v>2.9557039598439847E-2</v>
      </c>
      <c r="F33" s="1">
        <f t="shared" si="4"/>
        <v>2.4268945832851774E-2</v>
      </c>
      <c r="G33" s="1">
        <f t="shared" si="4"/>
        <v>4.7159168053073235E-2</v>
      </c>
      <c r="H33" s="1">
        <f t="shared" si="4"/>
        <v>3.8194075096353773E-2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>
      <c r="B34" s="1" t="s">
        <v>3</v>
      </c>
      <c r="F34">
        <f>TTEST(F22:F31,C22:C31,2,3)</f>
        <v>1.4102169409257273E-11</v>
      </c>
      <c r="G34" s="1">
        <f t="shared" ref="G34:H34" si="5">TTEST(G22:G31,D22:D31,2,3)</f>
        <v>2.0443593826448281E-4</v>
      </c>
      <c r="H34" s="1">
        <f t="shared" si="5"/>
        <v>1.5401447382625988E-5</v>
      </c>
    </row>
    <row r="55" spans="2:4">
      <c r="B55" s="1"/>
      <c r="D55" s="1"/>
    </row>
    <row r="56" spans="2:4">
      <c r="B56" s="1"/>
      <c r="D56" s="1"/>
    </row>
    <row r="57" spans="2:4">
      <c r="B57" s="1"/>
      <c r="D57" s="1"/>
    </row>
    <row r="58" spans="2:4">
      <c r="B58" s="1"/>
      <c r="D58" s="1"/>
    </row>
    <row r="59" spans="2:4">
      <c r="B59" s="1"/>
      <c r="D59" s="1"/>
    </row>
  </sheetData>
  <mergeCells count="4">
    <mergeCell ref="C20:E20"/>
    <mergeCell ref="F20:H20"/>
    <mergeCell ref="L20:N20"/>
    <mergeCell ref="R20:T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iiser</cp:lastModifiedBy>
  <dcterms:created xsi:type="dcterms:W3CDTF">2019-10-12T17:43:31Z</dcterms:created>
  <dcterms:modified xsi:type="dcterms:W3CDTF">2020-04-07T19:27:04Z</dcterms:modified>
</cp:coreProperties>
</file>