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115" windowHeight="72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Sheet1!$K$75:$K$76</definedName>
  </definedNames>
  <calcPr calcId="124519"/>
</workbook>
</file>

<file path=xl/calcChain.xml><?xml version="1.0" encoding="utf-8"?>
<calcChain xmlns="http://schemas.openxmlformats.org/spreadsheetml/2006/main">
  <c r="G80" i="1"/>
  <c r="D75"/>
  <c r="E82"/>
  <c r="C73"/>
  <c r="C80"/>
  <c r="E80"/>
  <c r="G79"/>
  <c r="G81"/>
  <c r="F76"/>
  <c r="G82"/>
  <c r="F77"/>
  <c r="F73"/>
  <c r="F75"/>
  <c r="F74"/>
  <c r="H78"/>
  <c r="E81"/>
  <c r="E79"/>
  <c r="E78"/>
  <c r="E77"/>
  <c r="F82"/>
  <c r="F81"/>
  <c r="F80"/>
  <c r="F79"/>
  <c r="F78"/>
  <c r="H82"/>
  <c r="H81"/>
  <c r="H80"/>
  <c r="H79"/>
  <c r="G78"/>
  <c r="G77"/>
  <c r="H77"/>
  <c r="H76"/>
  <c r="G76"/>
  <c r="E76"/>
  <c r="H75"/>
  <c r="G75"/>
  <c r="E75"/>
  <c r="D82"/>
  <c r="D81"/>
  <c r="D80"/>
  <c r="D79"/>
  <c r="D78"/>
  <c r="D77"/>
  <c r="D76"/>
  <c r="C82"/>
  <c r="C81"/>
  <c r="C79"/>
  <c r="C78"/>
  <c r="C77"/>
  <c r="C76"/>
  <c r="C75"/>
  <c r="H74"/>
  <c r="G74"/>
  <c r="E74"/>
  <c r="D74"/>
  <c r="C74"/>
  <c r="H73"/>
  <c r="G73"/>
  <c r="E73"/>
  <c r="D73"/>
  <c r="D64"/>
  <c r="D59"/>
  <c r="D63"/>
  <c r="D62"/>
  <c r="D61"/>
  <c r="D60"/>
  <c r="D58"/>
  <c r="D57"/>
  <c r="D56"/>
  <c r="D55"/>
  <c r="C64"/>
  <c r="C63"/>
  <c r="C62"/>
  <c r="C61"/>
  <c r="C60"/>
  <c r="C59"/>
  <c r="C58"/>
  <c r="C57"/>
  <c r="C56"/>
  <c r="C55"/>
  <c r="D44"/>
  <c r="D41"/>
  <c r="D40"/>
  <c r="D45"/>
  <c r="D48"/>
  <c r="D47"/>
  <c r="D46"/>
  <c r="D43"/>
  <c r="D42"/>
  <c r="D39"/>
  <c r="C46"/>
  <c r="C39"/>
  <c r="C48"/>
  <c r="C47"/>
  <c r="C45"/>
  <c r="C44"/>
  <c r="C43"/>
  <c r="C42"/>
  <c r="C41"/>
  <c r="C40"/>
  <c r="D83" l="1"/>
  <c r="G85" l="1"/>
  <c r="H85"/>
  <c r="F85"/>
  <c r="H48" i="2" l="1"/>
  <c r="G48"/>
  <c r="F48"/>
  <c r="E48"/>
  <c r="D48"/>
  <c r="C48"/>
  <c r="H47"/>
  <c r="G47"/>
  <c r="F47"/>
  <c r="E47"/>
  <c r="D47"/>
  <c r="C47"/>
  <c r="D31"/>
  <c r="D30"/>
  <c r="C30"/>
  <c r="D29"/>
  <c r="C29"/>
  <c r="D15"/>
  <c r="D14"/>
  <c r="C14"/>
  <c r="D13"/>
  <c r="C13"/>
  <c r="F84" i="1"/>
  <c r="G84"/>
  <c r="H84"/>
  <c r="F83"/>
  <c r="G83"/>
  <c r="H83"/>
  <c r="D84"/>
  <c r="E84"/>
  <c r="C84"/>
  <c r="E83"/>
  <c r="C83"/>
  <c r="D67"/>
  <c r="D66"/>
  <c r="C66"/>
  <c r="D65"/>
  <c r="C65"/>
  <c r="D51"/>
  <c r="D50"/>
  <c r="C50"/>
  <c r="D49"/>
  <c r="C49"/>
  <c r="D33"/>
  <c r="D32"/>
  <c r="C32"/>
  <c r="D31"/>
  <c r="C31"/>
  <c r="D15"/>
  <c r="D14"/>
  <c r="C14"/>
  <c r="D13"/>
  <c r="C13"/>
</calcChain>
</file>

<file path=xl/sharedStrings.xml><?xml version="1.0" encoding="utf-8"?>
<sst xmlns="http://schemas.openxmlformats.org/spreadsheetml/2006/main" count="93" uniqueCount="28">
  <si>
    <t>n</t>
  </si>
  <si>
    <t>Average</t>
  </si>
  <si>
    <t>Standard Deviation</t>
  </si>
  <si>
    <t>Student's t-test</t>
  </si>
  <si>
    <t>Red</t>
  </si>
  <si>
    <t>Green</t>
  </si>
  <si>
    <t>Yellow</t>
  </si>
  <si>
    <t>Dome &gt; FUCCI</t>
  </si>
  <si>
    <t>Dome&gt;GFP/+</t>
  </si>
  <si>
    <t>D&gt;GFP; whd1/whd1</t>
  </si>
  <si>
    <t>Dome&gt;GFP</t>
  </si>
  <si>
    <r>
      <t>Dome&gt;GFP; whd</t>
    </r>
    <r>
      <rPr>
        <b/>
        <i/>
        <vertAlign val="superscript"/>
        <sz val="11"/>
        <color rgb="FFFF0000"/>
        <rFont val="Cambria"/>
        <family val="1"/>
        <scheme val="major"/>
      </rPr>
      <t>1</t>
    </r>
    <r>
      <rPr>
        <b/>
        <i/>
        <sz val="11"/>
        <color rgb="FFFF0000"/>
        <rFont val="Cambria"/>
        <family val="1"/>
        <scheme val="major"/>
      </rPr>
      <t>/whd</t>
    </r>
    <r>
      <rPr>
        <b/>
        <i/>
        <vertAlign val="superscript"/>
        <sz val="11"/>
        <color rgb="FFFF0000"/>
        <rFont val="Cambria"/>
        <family val="1"/>
        <scheme val="major"/>
      </rPr>
      <t>1</t>
    </r>
  </si>
  <si>
    <t>Dome &gt; FUCCI&gt;whd RNAi</t>
  </si>
  <si>
    <r>
      <t xml:space="preserve">Differentiation level in </t>
    </r>
    <r>
      <rPr>
        <b/>
        <i/>
        <sz val="11"/>
        <color theme="1"/>
        <rFont val="Calibri"/>
        <family val="2"/>
        <scheme val="minor"/>
      </rPr>
      <t>whd</t>
    </r>
    <r>
      <rPr>
        <b/>
        <sz val="11"/>
        <color theme="1"/>
        <rFont val="Calibri"/>
        <family val="2"/>
        <scheme val="minor"/>
      </rPr>
      <t xml:space="preserve"> overexpression</t>
    </r>
  </si>
  <si>
    <t>Red(S)</t>
  </si>
  <si>
    <t>Green(G1)</t>
  </si>
  <si>
    <t>Yellow(G2/M)</t>
  </si>
  <si>
    <t>dome &gt; FUCCI</t>
  </si>
  <si>
    <r>
      <t xml:space="preserve">dome &gt; FUCCI  </t>
    </r>
    <r>
      <rPr>
        <b/>
        <sz val="11"/>
        <rFont val="Calibri"/>
        <family val="2"/>
        <scheme val="minor"/>
      </rPr>
      <t>+L-carnitine</t>
    </r>
  </si>
  <si>
    <t>dome&gt; FUCCI</t>
  </si>
  <si>
    <t>dome&gt; FUCCI&gt;whd.i</t>
  </si>
  <si>
    <t>dome &gt; GFP</t>
  </si>
  <si>
    <t>dome &gt; GFP&gt;whd-OE</t>
  </si>
  <si>
    <r>
      <rPr>
        <b/>
        <i/>
        <sz val="11"/>
        <color rgb="FFFF0000"/>
        <rFont val="Cambria"/>
        <family val="1"/>
        <scheme val="major"/>
      </rPr>
      <t>dome &gt; GFP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mbria"/>
        <family val="1"/>
        <scheme val="major"/>
      </rPr>
      <t>+L-carnitine</t>
    </r>
  </si>
  <si>
    <t>dome &gt; GFP &gt; whd-OE</t>
  </si>
  <si>
    <t>Differentiation level in L-carnitine feeding</t>
  </si>
  <si>
    <t>Ratio of EdU+ progenitors with respect to total number of DAPI+ cells per primary lobe</t>
  </si>
  <si>
    <t>Ratio of FUCCI+ progenitors with respect to total number of Hoechst+ cells per primary lobe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</si>
</sst>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i/>
      <sz val="11"/>
      <color rgb="FFFF000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vertAlign val="superscript"/>
      <sz val="11"/>
      <color rgb="FFFF0000"/>
      <name val="Cambria"/>
      <family val="1"/>
      <scheme val="maj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mruColors>
      <color rgb="FFDE5C5C"/>
      <color rgb="FF69613B"/>
      <color rgb="FF706840"/>
      <color rgb="FFFFFF00"/>
      <color rgb="FF00CC00"/>
      <color rgb="FFEE0000"/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4821335327807037"/>
          <c:y val="5.1400554097404488E-2"/>
          <c:w val="0.71595565066240374"/>
          <c:h val="0.80567400984989446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706840"/>
            </a:solidFill>
            <a:ln w="1905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Sheet1!$C$14:$D$14</c:f>
                <c:numCache>
                  <c:formatCode>General</c:formatCode>
                  <c:ptCount val="2"/>
                  <c:pt idx="0">
                    <c:v>4.0147090665312975E-2</c:v>
                  </c:pt>
                  <c:pt idx="1">
                    <c:v>5.4617457526569872E-2</c:v>
                  </c:pt>
                </c:numCache>
              </c:numRef>
            </c:plus>
            <c:minus>
              <c:numRef>
                <c:f>Sheet1!$C$14:$D$14</c:f>
                <c:numCache>
                  <c:formatCode>General</c:formatCode>
                  <c:ptCount val="2"/>
                  <c:pt idx="0">
                    <c:v>4.0147090665312975E-2</c:v>
                  </c:pt>
                  <c:pt idx="1">
                    <c:v>5.4617457526569872E-2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Sheet1!$H$4:$H$5</c:f>
              <c:strCache>
                <c:ptCount val="2"/>
                <c:pt idx="0">
                  <c:v>dome &gt; GFP</c:v>
                </c:pt>
                <c:pt idx="1">
                  <c:v>dome &gt; GFP, +L-carnitine</c:v>
                </c:pt>
              </c:strCache>
            </c:strRef>
          </c:cat>
          <c:val>
            <c:numRef>
              <c:f>Sheet1!$I$4:$I$5</c:f>
              <c:numCache>
                <c:formatCode>General</c:formatCode>
                <c:ptCount val="2"/>
                <c:pt idx="0">
                  <c:v>0.49870000000000003</c:v>
                </c:pt>
                <c:pt idx="1">
                  <c:v>0.78820000000000001</c:v>
                </c:pt>
              </c:numCache>
            </c:numRef>
          </c:val>
        </c:ser>
        <c:gapWidth val="100"/>
        <c:axId val="76052352"/>
        <c:axId val="76053888"/>
      </c:barChart>
      <c:catAx>
        <c:axId val="76052352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76053888"/>
        <c:crosses val="autoZero"/>
        <c:auto val="1"/>
        <c:lblAlgn val="ctr"/>
        <c:lblOffset val="100"/>
      </c:catAx>
      <c:valAx>
        <c:axId val="76053888"/>
        <c:scaling>
          <c:orientation val="minMax"/>
        </c:scaling>
        <c:axPos val="l"/>
        <c:numFmt formatCode="General" sourceLinked="1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76052352"/>
        <c:crosses val="autoZero"/>
        <c:crossBetween val="between"/>
        <c:majorUnit val="0.2"/>
      </c:valAx>
    </c:plotArea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6661918516467015"/>
          <c:y val="9.8725238292582465E-2"/>
          <c:w val="0.69652989356230155"/>
          <c:h val="0.78407404337615694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706840"/>
            </a:solidFill>
            <a:ln w="19050">
              <a:solidFill>
                <a:schemeClr val="tx1"/>
              </a:solidFill>
            </a:ln>
          </c:spPr>
          <c:errBars>
            <c:errBarType val="both"/>
            <c:errValType val="cust"/>
            <c:plus>
              <c:numRef>
                <c:f>Sheet1!$C$32:$D$32</c:f>
                <c:numCache>
                  <c:formatCode>General</c:formatCode>
                  <c:ptCount val="2"/>
                  <c:pt idx="0">
                    <c:v>3.6996095890122552E-2</c:v>
                  </c:pt>
                  <c:pt idx="1">
                    <c:v>4.9988443108828218E-2</c:v>
                  </c:pt>
                </c:numCache>
              </c:numRef>
            </c:plus>
            <c:minus>
              <c:numRef>
                <c:f>Sheet1!$C$32:$D$32</c:f>
                <c:numCache>
                  <c:formatCode>General</c:formatCode>
                  <c:ptCount val="2"/>
                  <c:pt idx="0">
                    <c:v>3.6996095890122552E-2</c:v>
                  </c:pt>
                  <c:pt idx="1">
                    <c:v>4.9988443108828218E-2</c:v>
                  </c:pt>
                </c:numCache>
              </c:numRef>
            </c:minus>
            <c:spPr>
              <a:ln w="19050">
                <a:solidFill>
                  <a:schemeClr val="tx1"/>
                </a:solidFill>
              </a:ln>
            </c:spPr>
          </c:errBars>
          <c:cat>
            <c:strRef>
              <c:f>Sheet1!$H$22:$H$23</c:f>
              <c:strCache>
                <c:ptCount val="2"/>
                <c:pt idx="0">
                  <c:v>dome &gt; GFP</c:v>
                </c:pt>
                <c:pt idx="1">
                  <c:v>dome &gt; GFP &gt; whd-OE</c:v>
                </c:pt>
              </c:strCache>
            </c:strRef>
          </c:cat>
          <c:val>
            <c:numRef>
              <c:f>Sheet1!$I$22:$I$23</c:f>
              <c:numCache>
                <c:formatCode>General</c:formatCode>
                <c:ptCount val="2"/>
                <c:pt idx="0">
                  <c:v>0.49560000000000004</c:v>
                </c:pt>
                <c:pt idx="1">
                  <c:v>0.83179999999999998</c:v>
                </c:pt>
              </c:numCache>
            </c:numRef>
          </c:val>
        </c:ser>
        <c:gapWidth val="100"/>
        <c:axId val="78303616"/>
        <c:axId val="78305152"/>
      </c:barChart>
      <c:catAx>
        <c:axId val="78303616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78305152"/>
        <c:crosses val="autoZero"/>
        <c:auto val="1"/>
        <c:lblAlgn val="ctr"/>
        <c:lblOffset val="100"/>
      </c:catAx>
      <c:valAx>
        <c:axId val="78305152"/>
        <c:scaling>
          <c:orientation val="minMax"/>
        </c:scaling>
        <c:axPos val="l"/>
        <c:numFmt formatCode="General" sourceLinked="1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78303616"/>
        <c:crosses val="autoZero"/>
        <c:crossBetween val="between"/>
        <c:majorUnit val="0.2"/>
      </c:valAx>
    </c:plotArea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/>
      <c:pieChart>
        <c:varyColors val="1"/>
        <c:ser>
          <c:idx val="0"/>
          <c:order val="0"/>
          <c:spPr>
            <a:ln w="25400">
              <a:solidFill>
                <a:schemeClr val="tx1"/>
              </a:solidFill>
            </a:ln>
          </c:spPr>
          <c:dPt>
            <c:idx val="0"/>
            <c:spPr>
              <a:solidFill>
                <a:srgbClr val="EE0000"/>
              </a:solidFill>
              <a:ln w="25400">
                <a:solidFill>
                  <a:schemeClr val="tx1"/>
                </a:solidFill>
              </a:ln>
            </c:spPr>
          </c:dPt>
          <c:dPt>
            <c:idx val="1"/>
            <c:spPr>
              <a:solidFill>
                <a:srgbClr val="00CC00"/>
              </a:solidFill>
              <a:ln w="25400">
                <a:solidFill>
                  <a:schemeClr val="tx1"/>
                </a:solidFill>
              </a:ln>
            </c:spPr>
          </c:dPt>
          <c:dPt>
            <c:idx val="2"/>
            <c:spPr>
              <a:solidFill>
                <a:srgbClr val="FFFF00"/>
              </a:solidFill>
              <a:ln w="25400">
                <a:solidFill>
                  <a:schemeClr val="tx1"/>
                </a:solidFill>
              </a:ln>
            </c:spPr>
          </c:dPt>
          <c:dLbls>
            <c:dLbl>
              <c:idx val="1"/>
              <c:layout>
                <c:manualLayout>
                  <c:x val="0.15723109691160828"/>
                  <c:y val="-3.9130577427821611E-2"/>
                </c:manualLayout>
              </c:layout>
              <c:showPercent val="1"/>
            </c:dLbl>
            <c:txPr>
              <a:bodyPr/>
              <a:lstStyle/>
              <a:p>
                <a:pPr>
                  <a:defRPr lang="en-US" sz="1400">
                    <a:latin typeface="Arial Black" pitchFamily="34" charset="0"/>
                  </a:defRPr>
                </a:pPr>
                <a:endParaRPr lang="en-US"/>
              </a:p>
            </c:txPr>
            <c:showPercent val="1"/>
            <c:showLeaderLines val="1"/>
          </c:dLbls>
          <c:cat>
            <c:strRef>
              <c:f>Sheet1!$J$75:$L$75</c:f>
              <c:strCache>
                <c:ptCount val="3"/>
                <c:pt idx="0">
                  <c:v>Red</c:v>
                </c:pt>
                <c:pt idx="1">
                  <c:v>Green</c:v>
                </c:pt>
                <c:pt idx="2">
                  <c:v>Yellow</c:v>
                </c:pt>
              </c:strCache>
            </c:strRef>
          </c:cat>
          <c:val>
            <c:numRef>
              <c:f>Sheet1!$J$76:$L$76</c:f>
              <c:numCache>
                <c:formatCode>General</c:formatCode>
                <c:ptCount val="3"/>
                <c:pt idx="0">
                  <c:v>0.28366073410228865</c:v>
                </c:pt>
                <c:pt idx="1">
                  <c:v>0.10212273240924352</c:v>
                </c:pt>
                <c:pt idx="2">
                  <c:v>9.5975792483094916E-2</c:v>
                </c:pt>
              </c:numCache>
            </c:numRef>
          </c:val>
        </c:ser>
        <c:firstSliceAng val="0"/>
      </c:pieChart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/>
      <c:pieChart>
        <c:varyColors val="1"/>
        <c:ser>
          <c:idx val="0"/>
          <c:order val="0"/>
          <c:spPr>
            <a:ln w="25400">
              <a:solidFill>
                <a:sysClr val="windowText" lastClr="000000"/>
              </a:solidFill>
            </a:ln>
          </c:spPr>
          <c:dPt>
            <c:idx val="0"/>
            <c:spPr>
              <a:solidFill>
                <a:srgbClr val="EE0000"/>
              </a:solidFill>
              <a:ln w="25400">
                <a:solidFill>
                  <a:sysClr val="windowText" lastClr="000000"/>
                </a:solidFill>
              </a:ln>
            </c:spPr>
          </c:dPt>
          <c:dPt>
            <c:idx val="1"/>
            <c:spPr>
              <a:solidFill>
                <a:srgbClr val="00CC00"/>
              </a:solidFill>
              <a:ln w="25400">
                <a:solidFill>
                  <a:sysClr val="windowText" lastClr="000000"/>
                </a:solidFill>
              </a:ln>
            </c:spPr>
          </c:dPt>
          <c:dPt>
            <c:idx val="2"/>
            <c:spPr>
              <a:solidFill>
                <a:srgbClr val="FFFF00"/>
              </a:solidFill>
              <a:ln w="25400">
                <a:solidFill>
                  <a:sysClr val="windowText" lastClr="000000"/>
                </a:solidFill>
              </a:ln>
            </c:spPr>
          </c:dPt>
          <c:dLbls>
            <c:txPr>
              <a:bodyPr/>
              <a:lstStyle/>
              <a:p>
                <a:pPr>
                  <a:defRPr lang="en-US" sz="1400">
                    <a:latin typeface="Arial Black" pitchFamily="34" charset="0"/>
                  </a:defRPr>
                </a:pPr>
                <a:endParaRPr lang="en-US"/>
              </a:p>
            </c:txPr>
            <c:showPercent val="1"/>
            <c:showLeaderLines val="1"/>
          </c:dLbls>
          <c:cat>
            <c:strRef>
              <c:f>Sheet1!$N$75:$P$75</c:f>
              <c:strCache>
                <c:ptCount val="3"/>
                <c:pt idx="0">
                  <c:v>Red</c:v>
                </c:pt>
                <c:pt idx="1">
                  <c:v>Green</c:v>
                </c:pt>
                <c:pt idx="2">
                  <c:v>Yellow</c:v>
                </c:pt>
              </c:strCache>
            </c:strRef>
          </c:cat>
          <c:val>
            <c:numRef>
              <c:f>Sheet1!$N$76:$P$76</c:f>
              <c:numCache>
                <c:formatCode>General</c:formatCode>
                <c:ptCount val="3"/>
                <c:pt idx="0">
                  <c:v>9.3017271979863175E-2</c:v>
                </c:pt>
                <c:pt idx="1">
                  <c:v>0.11726222262742358</c:v>
                </c:pt>
                <c:pt idx="2">
                  <c:v>0.20680338261761172</c:v>
                </c:pt>
              </c:numCache>
            </c:numRef>
          </c:val>
        </c:ser>
        <c:firstSliceAng val="0"/>
      </c:pieChart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4727384934126068"/>
          <c:y val="5.1400554097404488E-2"/>
          <c:w val="0.72217056142999625"/>
          <c:h val="0.7982250656167978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706840"/>
            </a:solidFill>
            <a:ln w="25400">
              <a:solidFill>
                <a:schemeClr val="tx1"/>
              </a:solidFill>
            </a:ln>
          </c:spPr>
          <c:errBars>
            <c:errBarType val="both"/>
            <c:errValType val="cust"/>
            <c:plus>
              <c:numRef>
                <c:f>Sheet1!$C$50:$D$50</c:f>
                <c:numCache>
                  <c:formatCode>General</c:formatCode>
                  <c:ptCount val="2"/>
                  <c:pt idx="0">
                    <c:v>6.6164622569183582E-2</c:v>
                  </c:pt>
                  <c:pt idx="1">
                    <c:v>2.3435453890600661E-2</c:v>
                  </c:pt>
                </c:numCache>
              </c:numRef>
            </c:plus>
            <c:minus>
              <c:numRef>
                <c:f>Sheet1!$C$50:$D$50</c:f>
                <c:numCache>
                  <c:formatCode>General</c:formatCode>
                  <c:ptCount val="2"/>
                  <c:pt idx="0">
                    <c:v>6.6164622569183582E-2</c:v>
                  </c:pt>
                  <c:pt idx="1">
                    <c:v>2.3435453890600661E-2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Sheet1!$H$43:$H$44</c:f>
              <c:strCache>
                <c:ptCount val="2"/>
                <c:pt idx="0">
                  <c:v>dome &gt; GFP</c:v>
                </c:pt>
                <c:pt idx="1">
                  <c:v>dome &gt; GFP, +L-carnitine</c:v>
                </c:pt>
              </c:strCache>
            </c:strRef>
          </c:cat>
          <c:val>
            <c:numRef>
              <c:f>Sheet1!$I$43:$I$44</c:f>
              <c:numCache>
                <c:formatCode>General</c:formatCode>
                <c:ptCount val="2"/>
                <c:pt idx="0">
                  <c:v>0.21486662907256773</c:v>
                </c:pt>
                <c:pt idx="1">
                  <c:v>6.5108504664129402E-2</c:v>
                </c:pt>
              </c:numCache>
            </c:numRef>
          </c:val>
        </c:ser>
        <c:gapWidth val="100"/>
        <c:axId val="83655680"/>
        <c:axId val="83661568"/>
      </c:barChart>
      <c:catAx>
        <c:axId val="83655680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83661568"/>
        <c:crosses val="autoZero"/>
        <c:auto val="1"/>
        <c:lblAlgn val="ctr"/>
        <c:lblOffset val="100"/>
      </c:catAx>
      <c:valAx>
        <c:axId val="83661568"/>
        <c:scaling>
          <c:orientation val="minMax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83655680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5003018372703412"/>
          <c:y val="5.1400554097404488E-2"/>
          <c:w val="0.73805446194225677"/>
          <c:h val="0.7982250656167978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706840"/>
            </a:solidFill>
            <a:ln w="25400">
              <a:solidFill>
                <a:sysClr val="windowText" lastClr="000000"/>
              </a:solidFill>
            </a:ln>
          </c:spPr>
          <c:dPt>
            <c:idx val="0"/>
            <c:spPr>
              <a:solidFill>
                <a:srgbClr val="69613B"/>
              </a:solidFill>
              <a:ln w="25400">
                <a:solidFill>
                  <a:sysClr val="windowText" lastClr="000000"/>
                </a:solidFill>
              </a:ln>
            </c:spPr>
          </c:dPt>
          <c:errBars>
            <c:errBarType val="both"/>
            <c:errValType val="cust"/>
            <c:plus>
              <c:numRef>
                <c:f>Sheet1!$C$66:$D$66</c:f>
                <c:numCache>
                  <c:formatCode>General</c:formatCode>
                  <c:ptCount val="2"/>
                  <c:pt idx="0">
                    <c:v>2.7680983091193656E-2</c:v>
                  </c:pt>
                  <c:pt idx="1">
                    <c:v>1.1013322375853722E-2</c:v>
                  </c:pt>
                </c:numCache>
              </c:numRef>
            </c:plus>
            <c:minus>
              <c:numRef>
                <c:f>Sheet1!$C$66:$D$66</c:f>
                <c:numCache>
                  <c:formatCode>General</c:formatCode>
                  <c:ptCount val="2"/>
                  <c:pt idx="0">
                    <c:v>2.7680983091193656E-2</c:v>
                  </c:pt>
                  <c:pt idx="1">
                    <c:v>1.1013322375853722E-2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Sheet1!$H$58:$H$59</c:f>
              <c:strCache>
                <c:ptCount val="2"/>
                <c:pt idx="0">
                  <c:v>dome &gt; GFP</c:v>
                </c:pt>
                <c:pt idx="1">
                  <c:v>dome &gt; GFP&gt;whd-OE</c:v>
                </c:pt>
              </c:strCache>
            </c:strRef>
          </c:cat>
          <c:val>
            <c:numRef>
              <c:f>Sheet1!$I$58:$I$59</c:f>
              <c:numCache>
                <c:formatCode>General</c:formatCode>
                <c:ptCount val="2"/>
                <c:pt idx="0">
                  <c:v>0.1934092900191747</c:v>
                </c:pt>
                <c:pt idx="1">
                  <c:v>4.214585474886192E-2</c:v>
                </c:pt>
              </c:numCache>
            </c:numRef>
          </c:val>
        </c:ser>
        <c:gapWidth val="100"/>
        <c:axId val="83689856"/>
        <c:axId val="83691392"/>
      </c:barChart>
      <c:catAx>
        <c:axId val="83689856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83691392"/>
        <c:crosses val="autoZero"/>
        <c:auto val="1"/>
        <c:lblAlgn val="ctr"/>
        <c:lblOffset val="100"/>
      </c:catAx>
      <c:valAx>
        <c:axId val="83691392"/>
        <c:scaling>
          <c:orientation val="minMax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83689856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17563314341804839"/>
          <c:y val="5.1400554097404488E-2"/>
          <c:w val="0.6270768836822227"/>
          <c:h val="0.79822506561679785"/>
        </c:manualLayout>
      </c:layout>
      <c:barChart>
        <c:barDir val="col"/>
        <c:grouping val="clustered"/>
        <c:ser>
          <c:idx val="0"/>
          <c:order val="0"/>
          <c:errBars>
            <c:errBarType val="both"/>
            <c:errValType val="cust"/>
            <c:plus>
              <c:numRef>
                <c:f>Sheet1!$C$84:$E$84</c:f>
                <c:numCache>
                  <c:formatCode>General</c:formatCode>
                  <c:ptCount val="3"/>
                  <c:pt idx="0">
                    <c:v>5.5796942069339828E-2</c:v>
                  </c:pt>
                  <c:pt idx="1">
                    <c:v>4.8080246755763417E-2</c:v>
                  </c:pt>
                  <c:pt idx="2">
                    <c:v>2.7267378733020018E-2</c:v>
                  </c:pt>
                </c:numCache>
              </c:numRef>
            </c:plus>
            <c:minus>
              <c:numRef>
                <c:f>Sheet1!$C$84:$E$84</c:f>
                <c:numCache>
                  <c:formatCode>General</c:formatCode>
                  <c:ptCount val="3"/>
                  <c:pt idx="0">
                    <c:v>5.5796942069339828E-2</c:v>
                  </c:pt>
                  <c:pt idx="1">
                    <c:v>4.8080246755763417E-2</c:v>
                  </c:pt>
                  <c:pt idx="2">
                    <c:v>2.7267378733020018E-2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Sheet1!$U$74:$W$74</c:f>
              <c:strCache>
                <c:ptCount val="3"/>
                <c:pt idx="0">
                  <c:v>Red(S)</c:v>
                </c:pt>
                <c:pt idx="1">
                  <c:v>Green(G1)</c:v>
                </c:pt>
                <c:pt idx="2">
                  <c:v>Yellow(G2/M)</c:v>
                </c:pt>
              </c:strCache>
            </c:strRef>
          </c:cat>
          <c:val>
            <c:numRef>
              <c:f>Sheet1!$U$75:$W$75</c:f>
              <c:numCache>
                <c:formatCode>General</c:formatCode>
                <c:ptCount val="3"/>
                <c:pt idx="0">
                  <c:v>0.28366073410228865</c:v>
                </c:pt>
                <c:pt idx="1">
                  <c:v>0.10212273240924352</c:v>
                </c:pt>
                <c:pt idx="2">
                  <c:v>9.5975792483094916E-2</c:v>
                </c:pt>
              </c:numCache>
            </c:numRef>
          </c:val>
        </c:ser>
        <c:ser>
          <c:idx val="1"/>
          <c:order val="1"/>
          <c:errBars>
            <c:errBarType val="both"/>
            <c:errValType val="cust"/>
            <c:plus>
              <c:numRef>
                <c:f>Sheet1!$F$84:$H$84</c:f>
                <c:numCache>
                  <c:formatCode>General</c:formatCode>
                  <c:ptCount val="3"/>
                  <c:pt idx="0">
                    <c:v>3.1177579347119799E-2</c:v>
                  </c:pt>
                  <c:pt idx="1">
                    <c:v>4.4492705134903811E-2</c:v>
                  </c:pt>
                  <c:pt idx="2">
                    <c:v>4.8152814852267474E-2</c:v>
                  </c:pt>
                </c:numCache>
              </c:numRef>
            </c:plus>
            <c:minus>
              <c:numRef>
                <c:f>Sheet1!$F$84:$H$84</c:f>
                <c:numCache>
                  <c:formatCode>General</c:formatCode>
                  <c:ptCount val="3"/>
                  <c:pt idx="0">
                    <c:v>3.1177579347119799E-2</c:v>
                  </c:pt>
                  <c:pt idx="1">
                    <c:v>4.4492705134903811E-2</c:v>
                  </c:pt>
                  <c:pt idx="2">
                    <c:v>4.8152814852267474E-2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Sheet1!$U$74:$W$74</c:f>
              <c:strCache>
                <c:ptCount val="3"/>
                <c:pt idx="0">
                  <c:v>Red(S)</c:v>
                </c:pt>
                <c:pt idx="1">
                  <c:v>Green(G1)</c:v>
                </c:pt>
                <c:pt idx="2">
                  <c:v>Yellow(G2/M)</c:v>
                </c:pt>
              </c:strCache>
            </c:strRef>
          </c:cat>
          <c:val>
            <c:numRef>
              <c:f>Sheet1!$U$76:$W$76</c:f>
              <c:numCache>
                <c:formatCode>General</c:formatCode>
                <c:ptCount val="3"/>
                <c:pt idx="0">
                  <c:v>9.3017271979863175E-2</c:v>
                </c:pt>
                <c:pt idx="1">
                  <c:v>0.12867774774157886</c:v>
                </c:pt>
                <c:pt idx="2">
                  <c:v>0.20680338261761172</c:v>
                </c:pt>
              </c:numCache>
            </c:numRef>
          </c:val>
        </c:ser>
        <c:axId val="83724544"/>
        <c:axId val="83734528"/>
      </c:barChart>
      <c:catAx>
        <c:axId val="83724544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83734528"/>
        <c:crosses val="autoZero"/>
        <c:auto val="1"/>
        <c:lblAlgn val="ctr"/>
        <c:lblOffset val="100"/>
      </c:catAx>
      <c:valAx>
        <c:axId val="83734528"/>
        <c:scaling>
          <c:orientation val="minMax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83724544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EE0000"/>
              </a:solidFill>
            </c:spPr>
          </c:dPt>
          <c:dPt>
            <c:idx val="1"/>
            <c:spPr>
              <a:solidFill>
                <a:srgbClr val="00CC00"/>
              </a:solidFill>
            </c:spPr>
          </c:dPt>
          <c:dPt>
            <c:idx val="2"/>
            <c:spPr>
              <a:solidFill>
                <a:srgbClr val="FFFF00"/>
              </a:solidFill>
            </c:spPr>
          </c:dPt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Percent val="1"/>
            <c:showLeaderLines val="1"/>
          </c:dLbls>
          <c:val>
            <c:numRef>
              <c:f>Sheet2!$L$37:$N$37</c:f>
              <c:numCache>
                <c:formatCode>General</c:formatCode>
                <c:ptCount val="3"/>
                <c:pt idx="0">
                  <c:v>81.3</c:v>
                </c:pt>
                <c:pt idx="1">
                  <c:v>78.099999999999994</c:v>
                </c:pt>
                <c:pt idx="2">
                  <c:v>318.89999999999998</c:v>
                </c:pt>
              </c:numCache>
            </c:numRef>
          </c:val>
        </c:ser>
        <c:firstSliceAng val="0"/>
      </c:pieChart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EE0000"/>
              </a:solidFill>
            </c:spPr>
          </c:dPt>
          <c:dPt>
            <c:idx val="1"/>
            <c:spPr>
              <a:solidFill>
                <a:srgbClr val="00CC00"/>
              </a:solidFill>
            </c:spPr>
          </c:dPt>
          <c:dPt>
            <c:idx val="2"/>
            <c:spPr>
              <a:solidFill>
                <a:srgbClr val="FFFF00"/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47%</a:t>
                    </a:r>
                  </a:p>
                </c:rich>
              </c:tx>
              <c:showVal val="1"/>
              <c:showPercent val="1"/>
            </c:dLbl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Percent val="1"/>
            <c:showLeaderLines val="1"/>
          </c:dLbls>
          <c:val>
            <c:numRef>
              <c:f>Sheet2!$R$37:$T$37</c:f>
              <c:numCache>
                <c:formatCode>General</c:formatCode>
                <c:ptCount val="3"/>
                <c:pt idx="0">
                  <c:v>248.3</c:v>
                </c:pt>
                <c:pt idx="1">
                  <c:v>124.8</c:v>
                </c:pt>
                <c:pt idx="2">
                  <c:v>159.69999999999999</c:v>
                </c:pt>
              </c:numCache>
            </c:numRef>
          </c:val>
        </c:ser>
        <c:firstSliceAng val="0"/>
      </c:pieChart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514349</xdr:colOff>
      <xdr:row>2</xdr:row>
      <xdr:rowOff>133350</xdr:rowOff>
    </xdr:from>
    <xdr:to>
      <xdr:col>16</xdr:col>
      <xdr:colOff>466724</xdr:colOff>
      <xdr:row>16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561975</xdr:colOff>
      <xdr:row>2</xdr:row>
      <xdr:rowOff>180976</xdr:rowOff>
    </xdr:from>
    <xdr:to>
      <xdr:col>11</xdr:col>
      <xdr:colOff>390525</xdr:colOff>
      <xdr:row>15</xdr:row>
      <xdr:rowOff>161926</xdr:rowOff>
    </xdr:to>
    <xdr:sp macro="" textlink="">
      <xdr:nvSpPr>
        <xdr:cNvPr id="3" name="TextBox 2"/>
        <xdr:cNvSpPr txBox="1"/>
      </xdr:nvSpPr>
      <xdr:spPr>
        <a:xfrm rot="16200000">
          <a:off x="7677150" y="1571626"/>
          <a:ext cx="245745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 eaLnBrk="1" fontAlgn="auto" latinLnBrk="0" hangingPunct="1"/>
          <a:r>
            <a:rPr lang="en-IN" sz="1100" b="1">
              <a:solidFill>
                <a:schemeClr val="dk1"/>
              </a:solidFill>
              <a:latin typeface="+mn-lt"/>
              <a:ea typeface="+mn-ea"/>
              <a:cs typeface="+mn-cs"/>
            </a:rPr>
            <a:t>Cortical</a:t>
          </a:r>
          <a:r>
            <a:rPr lang="en-IN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zone area/ Total area of</a:t>
          </a:r>
          <a:endParaRPr lang="en-IN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en-IN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primary lobe of lymph gland</a:t>
          </a:r>
          <a:endParaRPr lang="en-IN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endParaRPr lang="en-IN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IN" sz="1100"/>
        </a:p>
      </xdr:txBody>
    </xdr:sp>
    <xdr:clientData/>
  </xdr:twoCellAnchor>
  <xdr:twoCellAnchor>
    <xdr:from>
      <xdr:col>9</xdr:col>
      <xdr:colOff>485774</xdr:colOff>
      <xdr:row>20</xdr:row>
      <xdr:rowOff>19050</xdr:rowOff>
    </xdr:from>
    <xdr:to>
      <xdr:col>15</xdr:col>
      <xdr:colOff>533399</xdr:colOff>
      <xdr:row>33</xdr:row>
      <xdr:rowOff>161924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576266</xdr:colOff>
      <xdr:row>20</xdr:row>
      <xdr:rowOff>90489</xdr:rowOff>
    </xdr:from>
    <xdr:to>
      <xdr:col>10</xdr:col>
      <xdr:colOff>433391</xdr:colOff>
      <xdr:row>33</xdr:row>
      <xdr:rowOff>128589</xdr:rowOff>
    </xdr:to>
    <xdr:sp macro="" textlink="">
      <xdr:nvSpPr>
        <xdr:cNvPr id="5" name="TextBox 4"/>
        <xdr:cNvSpPr txBox="1"/>
      </xdr:nvSpPr>
      <xdr:spPr>
        <a:xfrm rot="16200000">
          <a:off x="7067554" y="4924426"/>
          <a:ext cx="2514600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 eaLnBrk="1" fontAlgn="auto" latinLnBrk="0" hangingPunct="1"/>
          <a:r>
            <a:rPr lang="en-IN" sz="1100" b="1">
              <a:solidFill>
                <a:schemeClr val="dk1"/>
              </a:solidFill>
              <a:latin typeface="+mn-lt"/>
              <a:ea typeface="+mn-ea"/>
              <a:cs typeface="+mn-cs"/>
            </a:rPr>
            <a:t>Cortical</a:t>
          </a:r>
          <a:r>
            <a:rPr lang="en-IN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zone area/ Total area of</a:t>
          </a:r>
          <a:endParaRPr lang="en-IN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n-IN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primary lobe of lymph gland</a:t>
          </a:r>
          <a:endParaRPr lang="en-IN" sz="1100"/>
        </a:p>
      </xdr:txBody>
    </xdr:sp>
    <xdr:clientData/>
  </xdr:twoCellAnchor>
  <xdr:twoCellAnchor>
    <xdr:from>
      <xdr:col>8</xdr:col>
      <xdr:colOff>171450</xdr:colOff>
      <xdr:row>76</xdr:row>
      <xdr:rowOff>66675</xdr:rowOff>
    </xdr:from>
    <xdr:to>
      <xdr:col>13</xdr:col>
      <xdr:colOff>104775</xdr:colOff>
      <xdr:row>90</xdr:row>
      <xdr:rowOff>142875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247650</xdr:colOff>
      <xdr:row>76</xdr:row>
      <xdr:rowOff>76199</xdr:rowOff>
    </xdr:from>
    <xdr:to>
      <xdr:col>18</xdr:col>
      <xdr:colOff>152400</xdr:colOff>
      <xdr:row>90</xdr:row>
      <xdr:rowOff>123824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304800</xdr:colOff>
      <xdr:row>62</xdr:row>
      <xdr:rowOff>9525</xdr:rowOff>
    </xdr:from>
    <xdr:to>
      <xdr:col>16</xdr:col>
      <xdr:colOff>104775</xdr:colOff>
      <xdr:row>63</xdr:row>
      <xdr:rowOff>76200</xdr:rowOff>
    </xdr:to>
    <xdr:sp macro="" textlink="">
      <xdr:nvSpPr>
        <xdr:cNvPr id="13" name="TextBox 12"/>
        <xdr:cNvSpPr txBox="1"/>
      </xdr:nvSpPr>
      <xdr:spPr>
        <a:xfrm>
          <a:off x="11601450" y="11820525"/>
          <a:ext cx="409575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14</xdr:col>
      <xdr:colOff>485775</xdr:colOff>
      <xdr:row>47</xdr:row>
      <xdr:rowOff>123826</xdr:rowOff>
    </xdr:from>
    <xdr:to>
      <xdr:col>15</xdr:col>
      <xdr:colOff>285750</xdr:colOff>
      <xdr:row>48</xdr:row>
      <xdr:rowOff>161925</xdr:rowOff>
    </xdr:to>
    <xdr:sp macro="" textlink="">
      <xdr:nvSpPr>
        <xdr:cNvPr id="14" name="TextBox 13"/>
        <xdr:cNvSpPr txBox="1"/>
      </xdr:nvSpPr>
      <xdr:spPr>
        <a:xfrm>
          <a:off x="11172825" y="9077326"/>
          <a:ext cx="409575" cy="2285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14</xdr:col>
      <xdr:colOff>171449</xdr:colOff>
      <xdr:row>20</xdr:row>
      <xdr:rowOff>180975</xdr:rowOff>
    </xdr:from>
    <xdr:to>
      <xdr:col>15</xdr:col>
      <xdr:colOff>28574</xdr:colOff>
      <xdr:row>22</xdr:row>
      <xdr:rowOff>66675</xdr:rowOff>
    </xdr:to>
    <xdr:sp macro="" textlink="">
      <xdr:nvSpPr>
        <xdr:cNvPr id="15" name="TextBox 14"/>
        <xdr:cNvSpPr txBox="1"/>
      </xdr:nvSpPr>
      <xdr:spPr>
        <a:xfrm>
          <a:off x="10858499" y="3990975"/>
          <a:ext cx="46672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15</xdr:col>
      <xdr:colOff>95250</xdr:colOff>
      <xdr:row>3</xdr:row>
      <xdr:rowOff>104775</xdr:rowOff>
    </xdr:from>
    <xdr:to>
      <xdr:col>15</xdr:col>
      <xdr:colOff>561975</xdr:colOff>
      <xdr:row>4</xdr:row>
      <xdr:rowOff>114300</xdr:rowOff>
    </xdr:to>
    <xdr:sp macro="" textlink="">
      <xdr:nvSpPr>
        <xdr:cNvPr id="16" name="TextBox 15"/>
        <xdr:cNvSpPr txBox="1"/>
      </xdr:nvSpPr>
      <xdr:spPr>
        <a:xfrm>
          <a:off x="11391900" y="676275"/>
          <a:ext cx="466725" cy="200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9</xdr:col>
      <xdr:colOff>514350</xdr:colOff>
      <xdr:row>37</xdr:row>
      <xdr:rowOff>76200</xdr:rowOff>
    </xdr:from>
    <xdr:to>
      <xdr:col>17</xdr:col>
      <xdr:colOff>209550</xdr:colOff>
      <xdr:row>51</xdr:row>
      <xdr:rowOff>152400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199230</xdr:colOff>
      <xdr:row>44</xdr:row>
      <xdr:rowOff>148828</xdr:rowOff>
    </xdr:from>
    <xdr:to>
      <xdr:col>16</xdr:col>
      <xdr:colOff>19843</xdr:colOff>
      <xdr:row>45</xdr:row>
      <xdr:rowOff>178595</xdr:rowOff>
    </xdr:to>
    <xdr:sp macro="" textlink="">
      <xdr:nvSpPr>
        <xdr:cNvPr id="23" name="TextBox 22"/>
        <xdr:cNvSpPr txBox="1"/>
      </xdr:nvSpPr>
      <xdr:spPr>
        <a:xfrm>
          <a:off x="11440714" y="8443516"/>
          <a:ext cx="425848" cy="2182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9</xdr:col>
      <xdr:colOff>538165</xdr:colOff>
      <xdr:row>37</xdr:row>
      <xdr:rowOff>109539</xdr:rowOff>
    </xdr:from>
    <xdr:to>
      <xdr:col>11</xdr:col>
      <xdr:colOff>39690</xdr:colOff>
      <xdr:row>50</xdr:row>
      <xdr:rowOff>147639</xdr:rowOff>
    </xdr:to>
    <xdr:sp macro="" textlink="">
      <xdr:nvSpPr>
        <xdr:cNvPr id="24" name="TextBox 23"/>
        <xdr:cNvSpPr txBox="1"/>
      </xdr:nvSpPr>
      <xdr:spPr>
        <a:xfrm rot="16200000">
          <a:off x="7259838" y="7973022"/>
          <a:ext cx="2488803" cy="7119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 eaLnBrk="1" fontAlgn="auto" latinLnBrk="0" hangingPunct="1"/>
          <a:r>
            <a:rPr lang="en-IN" sz="1100" b="1">
              <a:solidFill>
                <a:schemeClr val="dk1"/>
              </a:solidFill>
              <a:latin typeface="+mn-lt"/>
              <a:ea typeface="+mn-ea"/>
              <a:cs typeface="+mn-cs"/>
            </a:rPr>
            <a:t>Ratio of EdU+ progenitors with respect to total number of DAPI+ cells per primary lobe</a:t>
          </a:r>
          <a:endParaRPr lang="en-IN" sz="1100"/>
        </a:p>
      </xdr:txBody>
    </xdr:sp>
    <xdr:clientData/>
  </xdr:twoCellAnchor>
  <xdr:twoCellAnchor>
    <xdr:from>
      <xdr:col>9</xdr:col>
      <xdr:colOff>476250</xdr:colOff>
      <xdr:row>53</xdr:row>
      <xdr:rowOff>161925</xdr:rowOff>
    </xdr:from>
    <xdr:to>
      <xdr:col>17</xdr:col>
      <xdr:colOff>171450</xdr:colOff>
      <xdr:row>68</xdr:row>
      <xdr:rowOff>47625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238124</xdr:colOff>
      <xdr:row>61</xdr:row>
      <xdr:rowOff>171450</xdr:rowOff>
    </xdr:from>
    <xdr:to>
      <xdr:col>16</xdr:col>
      <xdr:colOff>95249</xdr:colOff>
      <xdr:row>63</xdr:row>
      <xdr:rowOff>57150</xdr:rowOff>
    </xdr:to>
    <xdr:sp macro="" textlink="">
      <xdr:nvSpPr>
        <xdr:cNvPr id="27" name="TextBox 26"/>
        <xdr:cNvSpPr txBox="1"/>
      </xdr:nvSpPr>
      <xdr:spPr>
        <a:xfrm>
          <a:off x="11534774" y="11791950"/>
          <a:ext cx="46672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19</xdr:col>
      <xdr:colOff>438149</xdr:colOff>
      <xdr:row>77</xdr:row>
      <xdr:rowOff>19050</xdr:rowOff>
    </xdr:from>
    <xdr:to>
      <xdr:col>29</xdr:col>
      <xdr:colOff>200024</xdr:colOff>
      <xdr:row>91</xdr:row>
      <xdr:rowOff>95250</xdr:rowOff>
    </xdr:to>
    <xdr:graphicFrame macro="">
      <xdr:nvGraphicFramePr>
        <xdr:cNvPr id="28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247649</xdr:colOff>
      <xdr:row>84</xdr:row>
      <xdr:rowOff>40481</xdr:rowOff>
    </xdr:from>
    <xdr:to>
      <xdr:col>23</xdr:col>
      <xdr:colOff>104774</xdr:colOff>
      <xdr:row>85</xdr:row>
      <xdr:rowOff>116681</xdr:rowOff>
    </xdr:to>
    <xdr:sp macro="" textlink="">
      <xdr:nvSpPr>
        <xdr:cNvPr id="30" name="TextBox 29"/>
        <xdr:cNvSpPr txBox="1"/>
      </xdr:nvSpPr>
      <xdr:spPr>
        <a:xfrm>
          <a:off x="15773399" y="16042481"/>
          <a:ext cx="464344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24</xdr:col>
      <xdr:colOff>249236</xdr:colOff>
      <xdr:row>82</xdr:row>
      <xdr:rowOff>154781</xdr:rowOff>
    </xdr:from>
    <xdr:to>
      <xdr:col>25</xdr:col>
      <xdr:colOff>15876</xdr:colOff>
      <xdr:row>84</xdr:row>
      <xdr:rowOff>42862</xdr:rowOff>
    </xdr:to>
    <xdr:sp macro="" textlink="">
      <xdr:nvSpPr>
        <xdr:cNvPr id="31" name="TextBox 30"/>
        <xdr:cNvSpPr txBox="1"/>
      </xdr:nvSpPr>
      <xdr:spPr>
        <a:xfrm>
          <a:off x="16937830" y="15613062"/>
          <a:ext cx="371874" cy="2651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n.s</a:t>
          </a:r>
        </a:p>
      </xdr:txBody>
    </xdr:sp>
    <xdr:clientData/>
  </xdr:twoCellAnchor>
  <xdr:twoCellAnchor>
    <xdr:from>
      <xdr:col>26</xdr:col>
      <xdr:colOff>195261</xdr:colOff>
      <xdr:row>80</xdr:row>
      <xdr:rowOff>83344</xdr:rowOff>
    </xdr:from>
    <xdr:to>
      <xdr:col>27</xdr:col>
      <xdr:colOff>52386</xdr:colOff>
      <xdr:row>81</xdr:row>
      <xdr:rowOff>159544</xdr:rowOff>
    </xdr:to>
    <xdr:sp macro="" textlink="">
      <xdr:nvSpPr>
        <xdr:cNvPr id="32" name="TextBox 31"/>
        <xdr:cNvSpPr txBox="1"/>
      </xdr:nvSpPr>
      <xdr:spPr>
        <a:xfrm>
          <a:off x="18149886" y="15323344"/>
          <a:ext cx="464344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***</a:t>
          </a:r>
        </a:p>
      </xdr:txBody>
    </xdr:sp>
    <xdr:clientData/>
  </xdr:twoCellAnchor>
  <xdr:twoCellAnchor>
    <xdr:from>
      <xdr:col>26</xdr:col>
      <xdr:colOff>273844</xdr:colOff>
      <xdr:row>78</xdr:row>
      <xdr:rowOff>47626</xdr:rowOff>
    </xdr:from>
    <xdr:to>
      <xdr:col>26</xdr:col>
      <xdr:colOff>416719</xdr:colOff>
      <xdr:row>78</xdr:row>
      <xdr:rowOff>166689</xdr:rowOff>
    </xdr:to>
    <xdr:sp macro="" textlink="">
      <xdr:nvSpPr>
        <xdr:cNvPr id="33" name="TextBox 32"/>
        <xdr:cNvSpPr txBox="1"/>
      </xdr:nvSpPr>
      <xdr:spPr>
        <a:xfrm>
          <a:off x="18228469" y="14906626"/>
          <a:ext cx="142875" cy="11906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IN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IN" sz="1100"/>
        </a:p>
      </xdr:txBody>
    </xdr:sp>
    <xdr:clientData/>
  </xdr:twoCellAnchor>
  <xdr:twoCellAnchor>
    <xdr:from>
      <xdr:col>26</xdr:col>
      <xdr:colOff>271464</xdr:colOff>
      <xdr:row>79</xdr:row>
      <xdr:rowOff>57149</xdr:rowOff>
    </xdr:from>
    <xdr:to>
      <xdr:col>26</xdr:col>
      <xdr:colOff>414339</xdr:colOff>
      <xdr:row>79</xdr:row>
      <xdr:rowOff>176212</xdr:rowOff>
    </xdr:to>
    <xdr:sp macro="" textlink="">
      <xdr:nvSpPr>
        <xdr:cNvPr id="34" name="TextBox 33"/>
        <xdr:cNvSpPr txBox="1"/>
      </xdr:nvSpPr>
      <xdr:spPr>
        <a:xfrm>
          <a:off x="18226089" y="15106649"/>
          <a:ext cx="142875" cy="119063"/>
        </a:xfrm>
        <a:prstGeom prst="rect">
          <a:avLst/>
        </a:prstGeom>
        <a:solidFill>
          <a:srgbClr val="DE5C5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IN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IN" sz="1100"/>
        </a:p>
      </xdr:txBody>
    </xdr:sp>
    <xdr:clientData/>
  </xdr:twoCellAnchor>
  <xdr:twoCellAnchor>
    <xdr:from>
      <xdr:col>26</xdr:col>
      <xdr:colOff>428627</xdr:colOff>
      <xdr:row>77</xdr:row>
      <xdr:rowOff>178594</xdr:rowOff>
    </xdr:from>
    <xdr:to>
      <xdr:col>28</xdr:col>
      <xdr:colOff>369095</xdr:colOff>
      <xdr:row>78</xdr:row>
      <xdr:rowOff>178594</xdr:rowOff>
    </xdr:to>
    <xdr:sp macro="" textlink="">
      <xdr:nvSpPr>
        <xdr:cNvPr id="35" name="TextBox 34"/>
        <xdr:cNvSpPr txBox="1"/>
      </xdr:nvSpPr>
      <xdr:spPr>
        <a:xfrm>
          <a:off x="18383252" y="14847094"/>
          <a:ext cx="1154906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dome &gt; GFP</a:t>
          </a:r>
        </a:p>
      </xdr:txBody>
    </xdr:sp>
    <xdr:clientData/>
  </xdr:twoCellAnchor>
  <xdr:twoCellAnchor>
    <xdr:from>
      <xdr:col>26</xdr:col>
      <xdr:colOff>426246</xdr:colOff>
      <xdr:row>79</xdr:row>
      <xdr:rowOff>9525</xdr:rowOff>
    </xdr:from>
    <xdr:to>
      <xdr:col>29</xdr:col>
      <xdr:colOff>95250</xdr:colOff>
      <xdr:row>80</xdr:row>
      <xdr:rowOff>35719</xdr:rowOff>
    </xdr:to>
    <xdr:sp macro="" textlink="">
      <xdr:nvSpPr>
        <xdr:cNvPr id="36" name="TextBox 35"/>
        <xdr:cNvSpPr txBox="1"/>
      </xdr:nvSpPr>
      <xdr:spPr>
        <a:xfrm>
          <a:off x="18380871" y="15059025"/>
          <a:ext cx="1490660" cy="2166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dome &gt; GFP&gt; whd.i</a:t>
          </a:r>
        </a:p>
      </xdr:txBody>
    </xdr:sp>
    <xdr:clientData/>
  </xdr:twoCellAnchor>
  <xdr:twoCellAnchor>
    <xdr:from>
      <xdr:col>9</xdr:col>
      <xdr:colOff>511972</xdr:colOff>
      <xdr:row>53</xdr:row>
      <xdr:rowOff>182564</xdr:rowOff>
    </xdr:from>
    <xdr:to>
      <xdr:col>11</xdr:col>
      <xdr:colOff>13497</xdr:colOff>
      <xdr:row>67</xdr:row>
      <xdr:rowOff>32148</xdr:rowOff>
    </xdr:to>
    <xdr:sp macro="" textlink="">
      <xdr:nvSpPr>
        <xdr:cNvPr id="37" name="TextBox 36"/>
        <xdr:cNvSpPr txBox="1"/>
      </xdr:nvSpPr>
      <xdr:spPr>
        <a:xfrm rot="16200000">
          <a:off x="7233645" y="11062297"/>
          <a:ext cx="2488803" cy="7119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 eaLnBrk="1" fontAlgn="auto" latinLnBrk="0" hangingPunct="1"/>
          <a:r>
            <a:rPr lang="en-IN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Ratio of EdU+ progenitors with respect to total number of DAPI+ cells per primary lobe</a:t>
          </a:r>
          <a:r>
            <a:rPr lang="en-IN"/>
            <a:t> </a:t>
          </a:r>
          <a:endParaRPr lang="en-IN" sz="1100"/>
        </a:p>
      </xdr:txBody>
    </xdr:sp>
    <xdr:clientData/>
  </xdr:twoCellAnchor>
  <xdr:twoCellAnchor>
    <xdr:from>
      <xdr:col>19</xdr:col>
      <xdr:colOff>466328</xdr:colOff>
      <xdr:row>77</xdr:row>
      <xdr:rowOff>89296</xdr:rowOff>
    </xdr:from>
    <xdr:to>
      <xdr:col>20</xdr:col>
      <xdr:colOff>436566</xdr:colOff>
      <xdr:row>90</xdr:row>
      <xdr:rowOff>119062</xdr:rowOff>
    </xdr:to>
    <xdr:sp macro="" textlink="">
      <xdr:nvSpPr>
        <xdr:cNvPr id="38" name="TextBox 37"/>
        <xdr:cNvSpPr txBox="1"/>
      </xdr:nvSpPr>
      <xdr:spPr>
        <a:xfrm rot="16200000">
          <a:off x="13176251" y="15557498"/>
          <a:ext cx="2480469" cy="5754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IN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Ratio of FUCCI+ progenitors with respect to total number of Hoechst+ cells per primary lobe</a:t>
          </a:r>
          <a:r>
            <a:rPr lang="en-IN"/>
            <a:t> </a:t>
          </a:r>
          <a:endParaRPr lang="en-IN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40</xdr:row>
      <xdr:rowOff>142875</xdr:rowOff>
    </xdr:from>
    <xdr:to>
      <xdr:col>14</xdr:col>
      <xdr:colOff>57150</xdr:colOff>
      <xdr:row>55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133350</xdr:colOff>
      <xdr:row>42</xdr:row>
      <xdr:rowOff>28575</xdr:rowOff>
    </xdr:from>
    <xdr:to>
      <xdr:col>21</xdr:col>
      <xdr:colOff>438150</xdr:colOff>
      <xdr:row>56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B1:W85"/>
  <sheetViews>
    <sheetView tabSelected="1" topLeftCell="C70" zoomScale="96" zoomScaleNormal="96" workbookViewId="0">
      <selection activeCell="K96" sqref="K96"/>
    </sheetView>
  </sheetViews>
  <sheetFormatPr defaultRowHeight="15"/>
  <cols>
    <col min="3" max="3" width="23.85546875" customWidth="1"/>
    <col min="4" max="4" width="24.85546875" customWidth="1"/>
    <col min="6" max="6" width="11" bestFit="1" customWidth="1"/>
  </cols>
  <sheetData>
    <row r="1" spans="2:9">
      <c r="B1" s="2" t="s">
        <v>25</v>
      </c>
    </row>
    <row r="2" spans="2:9">
      <c r="B2" t="s">
        <v>0</v>
      </c>
      <c r="C2" s="1" t="s">
        <v>21</v>
      </c>
      <c r="D2" t="s">
        <v>23</v>
      </c>
    </row>
    <row r="3" spans="2:9">
      <c r="B3">
        <v>1</v>
      </c>
      <c r="C3">
        <v>0.53400000000000003</v>
      </c>
      <c r="D3">
        <v>0.79100000000000004</v>
      </c>
    </row>
    <row r="4" spans="2:9">
      <c r="B4">
        <v>2</v>
      </c>
      <c r="C4">
        <v>0.49199999999999999</v>
      </c>
      <c r="D4">
        <v>0.82199999999999995</v>
      </c>
      <c r="H4" s="1" t="s">
        <v>21</v>
      </c>
      <c r="I4">
        <v>0.49870000000000003</v>
      </c>
    </row>
    <row r="5" spans="2:9">
      <c r="B5">
        <v>3</v>
      </c>
      <c r="C5">
        <v>0.51200000000000001</v>
      </c>
      <c r="D5">
        <v>0.73399999999999999</v>
      </c>
      <c r="H5" t="s">
        <v>23</v>
      </c>
      <c r="I5">
        <v>0.78820000000000001</v>
      </c>
    </row>
    <row r="6" spans="2:9">
      <c r="B6">
        <v>4</v>
      </c>
      <c r="C6">
        <v>0.49099999999999999</v>
      </c>
      <c r="D6">
        <v>0.80100000000000005</v>
      </c>
    </row>
    <row r="7" spans="2:9">
      <c r="B7">
        <v>5</v>
      </c>
      <c r="C7">
        <v>0.437</v>
      </c>
      <c r="D7">
        <v>0.75800000000000001</v>
      </c>
    </row>
    <row r="8" spans="2:9">
      <c r="B8">
        <v>6</v>
      </c>
      <c r="C8">
        <v>0.55800000000000005</v>
      </c>
      <c r="D8">
        <v>0.82499999999999996</v>
      </c>
    </row>
    <row r="9" spans="2:9">
      <c r="B9">
        <v>7</v>
      </c>
      <c r="C9">
        <v>0.51900000000000002</v>
      </c>
      <c r="D9">
        <v>0.69799999999999995</v>
      </c>
    </row>
    <row r="10" spans="2:9">
      <c r="B10">
        <v>8</v>
      </c>
      <c r="C10">
        <v>0.502</v>
      </c>
      <c r="D10">
        <v>0.89200000000000002</v>
      </c>
    </row>
    <row r="11" spans="2:9">
      <c r="B11">
        <v>9</v>
      </c>
      <c r="C11">
        <v>0.51400000000000001</v>
      </c>
      <c r="D11">
        <v>0.755</v>
      </c>
    </row>
    <row r="12" spans="2:9">
      <c r="B12">
        <v>10</v>
      </c>
      <c r="C12">
        <v>0.42799999999999999</v>
      </c>
      <c r="D12">
        <v>0.80600000000000005</v>
      </c>
    </row>
    <row r="13" spans="2:9">
      <c r="B13" t="s">
        <v>1</v>
      </c>
      <c r="C13">
        <f>AVERAGE(C3:C12)</f>
        <v>0.49870000000000003</v>
      </c>
      <c r="D13">
        <f>AVERAGE(D3:D12)</f>
        <v>0.78820000000000001</v>
      </c>
    </row>
    <row r="14" spans="2:9">
      <c r="B14" t="s">
        <v>2</v>
      </c>
      <c r="C14">
        <f>STDEV(C3:C12)</f>
        <v>4.0147090665312975E-2</v>
      </c>
      <c r="D14">
        <f>STDEV(D3:D12)</f>
        <v>5.4617457526569872E-2</v>
      </c>
    </row>
    <row r="15" spans="2:9">
      <c r="B15" t="s">
        <v>3</v>
      </c>
      <c r="D15">
        <f>TTEST(D3:D12,C3:C12,2,3)</f>
        <v>2.3657380431575489E-10</v>
      </c>
    </row>
    <row r="19" spans="2:9">
      <c r="B19" s="2" t="s">
        <v>13</v>
      </c>
    </row>
    <row r="20" spans="2:9">
      <c r="B20" t="s">
        <v>0</v>
      </c>
      <c r="C20" s="1" t="s">
        <v>21</v>
      </c>
      <c r="D20" s="1" t="s">
        <v>24</v>
      </c>
    </row>
    <row r="21" spans="2:9">
      <c r="B21">
        <v>1</v>
      </c>
      <c r="C21">
        <v>0.45900000000000002</v>
      </c>
      <c r="D21">
        <v>0.83</v>
      </c>
    </row>
    <row r="22" spans="2:9">
      <c r="B22">
        <v>2</v>
      </c>
      <c r="C22">
        <v>0.52</v>
      </c>
      <c r="D22">
        <v>0.81499999999999995</v>
      </c>
      <c r="H22" s="1" t="s">
        <v>21</v>
      </c>
      <c r="I22">
        <v>0.49560000000000004</v>
      </c>
    </row>
    <row r="23" spans="2:9">
      <c r="B23">
        <v>3</v>
      </c>
      <c r="C23">
        <v>0.52400000000000002</v>
      </c>
      <c r="D23">
        <v>0.76600000000000001</v>
      </c>
      <c r="H23" s="1" t="s">
        <v>24</v>
      </c>
      <c r="I23">
        <v>0.83179999999999998</v>
      </c>
    </row>
    <row r="24" spans="2:9">
      <c r="B24">
        <v>4</v>
      </c>
      <c r="C24">
        <v>0.47199999999999998</v>
      </c>
      <c r="D24">
        <v>0.86699999999999999</v>
      </c>
    </row>
    <row r="25" spans="2:9">
      <c r="B25">
        <v>5</v>
      </c>
      <c r="C25">
        <v>0.46300000000000002</v>
      </c>
      <c r="D25">
        <v>0.85199999999999998</v>
      </c>
    </row>
    <row r="26" spans="2:9">
      <c r="B26">
        <v>6</v>
      </c>
      <c r="C26">
        <v>0.55800000000000005</v>
      </c>
      <c r="D26">
        <v>0.871</v>
      </c>
    </row>
    <row r="27" spans="2:9">
      <c r="B27">
        <v>7</v>
      </c>
      <c r="C27">
        <v>0.54200000000000004</v>
      </c>
      <c r="D27">
        <v>0.76900000000000002</v>
      </c>
    </row>
    <row r="28" spans="2:9">
      <c r="B28">
        <v>8</v>
      </c>
      <c r="C28">
        <v>0.46899999999999997</v>
      </c>
      <c r="D28">
        <v>0.88100000000000001</v>
      </c>
    </row>
    <row r="29" spans="2:9">
      <c r="B29">
        <v>9</v>
      </c>
      <c r="C29">
        <v>0.46200000000000002</v>
      </c>
      <c r="D29">
        <v>0.76900000000000002</v>
      </c>
    </row>
    <row r="30" spans="2:9">
      <c r="B30">
        <v>10</v>
      </c>
      <c r="C30">
        <v>0.48699999999999999</v>
      </c>
      <c r="D30">
        <v>0.89800000000000002</v>
      </c>
    </row>
    <row r="31" spans="2:9">
      <c r="B31" t="s">
        <v>1</v>
      </c>
      <c r="C31">
        <f>AVERAGE(C21:C30)</f>
        <v>0.49560000000000004</v>
      </c>
      <c r="D31">
        <f>AVERAGE(D21:D30)</f>
        <v>0.83179999999999998</v>
      </c>
    </row>
    <row r="32" spans="2:9">
      <c r="B32" t="s">
        <v>2</v>
      </c>
      <c r="C32">
        <f>STDEV(C21:C30)</f>
        <v>3.6996095890122552E-2</v>
      </c>
      <c r="D32">
        <f>STDEV(D21:D30)</f>
        <v>4.9988443108828218E-2</v>
      </c>
    </row>
    <row r="33" spans="2:9">
      <c r="B33" t="s">
        <v>3</v>
      </c>
      <c r="D33">
        <f>TTEST(D21:D30,C21:C30,2,3)</f>
        <v>5.8219122057321494E-12</v>
      </c>
    </row>
    <row r="37" spans="2:9">
      <c r="B37" s="6" t="s">
        <v>26</v>
      </c>
    </row>
    <row r="38" spans="2:9">
      <c r="C38" s="1" t="s">
        <v>21</v>
      </c>
      <c r="D38" t="s">
        <v>23</v>
      </c>
    </row>
    <row r="39" spans="2:9">
      <c r="C39">
        <f>258/825</f>
        <v>0.31272727272727274</v>
      </c>
      <c r="D39">
        <f>35/545</f>
        <v>6.4220183486238536E-2</v>
      </c>
    </row>
    <row r="40" spans="2:9">
      <c r="B40">
        <v>2</v>
      </c>
      <c r="C40">
        <f>128/768</f>
        <v>0.16666666666666666</v>
      </c>
      <c r="D40">
        <f>38/350</f>
        <v>0.10857142857142857</v>
      </c>
    </row>
    <row r="41" spans="2:9">
      <c r="B41">
        <v>3</v>
      </c>
      <c r="C41">
        <f>150/794</f>
        <v>0.18891687657430731</v>
      </c>
      <c r="D41">
        <f>28/471</f>
        <v>5.9447983014861996E-2</v>
      </c>
    </row>
    <row r="42" spans="2:9">
      <c r="B42">
        <v>4</v>
      </c>
      <c r="C42">
        <f>145/636</f>
        <v>0.2279874213836478</v>
      </c>
      <c r="D42">
        <f>31/490</f>
        <v>6.3265306122448975E-2</v>
      </c>
    </row>
    <row r="43" spans="2:9">
      <c r="B43">
        <v>5</v>
      </c>
      <c r="C43">
        <f>190/840</f>
        <v>0.22619047619047619</v>
      </c>
      <c r="D43">
        <f>19/520</f>
        <v>3.653846153846154E-2</v>
      </c>
      <c r="H43" s="1" t="s">
        <v>21</v>
      </c>
      <c r="I43">
        <v>0.21486662907256773</v>
      </c>
    </row>
    <row r="44" spans="2:9">
      <c r="B44">
        <v>6</v>
      </c>
      <c r="C44">
        <f>215/968</f>
        <v>0.22210743801652894</v>
      </c>
      <c r="D44">
        <f>27/392</f>
        <v>6.8877551020408156E-2</v>
      </c>
      <c r="H44" t="s">
        <v>23</v>
      </c>
      <c r="I44">
        <v>6.5108504664129402E-2</v>
      </c>
    </row>
    <row r="45" spans="2:9">
      <c r="B45">
        <v>7</v>
      </c>
      <c r="C45">
        <f>159/980</f>
        <v>0.16224489795918368</v>
      </c>
      <c r="D45">
        <f>51/608</f>
        <v>8.3881578947368418E-2</v>
      </c>
    </row>
    <row r="46" spans="2:9">
      <c r="B46">
        <v>8</v>
      </c>
      <c r="C46">
        <f>98/918</f>
        <v>0.10675381263616558</v>
      </c>
      <c r="D46">
        <f>41/470</f>
        <v>8.723404255319149E-2</v>
      </c>
    </row>
    <row r="47" spans="2:9">
      <c r="B47">
        <v>9</v>
      </c>
      <c r="C47">
        <f>158/750</f>
        <v>0.21066666666666667</v>
      </c>
      <c r="D47">
        <f>17/482</f>
        <v>3.5269709543568464E-2</v>
      </c>
    </row>
    <row r="48" spans="2:9">
      <c r="B48">
        <v>10</v>
      </c>
      <c r="C48">
        <f>218/672</f>
        <v>0.32440476190476192</v>
      </c>
      <c r="D48">
        <f>19/434</f>
        <v>4.377880184331797E-2</v>
      </c>
    </row>
    <row r="49" spans="2:9">
      <c r="B49" t="s">
        <v>1</v>
      </c>
      <c r="C49">
        <f>AVERAGE(C39:C48)</f>
        <v>0.21486662907256773</v>
      </c>
      <c r="D49">
        <f>AVERAGE(D39:D48)</f>
        <v>6.5108504664129402E-2</v>
      </c>
    </row>
    <row r="50" spans="2:9">
      <c r="B50" t="s">
        <v>2</v>
      </c>
      <c r="C50">
        <f>STDEV(C39:C48)</f>
        <v>6.6164622569183582E-2</v>
      </c>
      <c r="D50">
        <f>STDEV(D39:D48)</f>
        <v>2.3435453890600661E-2</v>
      </c>
    </row>
    <row r="51" spans="2:9">
      <c r="B51" t="s">
        <v>3</v>
      </c>
      <c r="D51">
        <f>TTEST(D39:D48,C39:C48,2,3)</f>
        <v>2.8697982036753738E-5</v>
      </c>
    </row>
    <row r="53" spans="2:9">
      <c r="B53" s="6" t="s">
        <v>26</v>
      </c>
    </row>
    <row r="54" spans="2:9">
      <c r="B54" t="s">
        <v>0</v>
      </c>
      <c r="C54" s="1" t="s">
        <v>21</v>
      </c>
      <c r="D54" s="1" t="s">
        <v>22</v>
      </c>
    </row>
    <row r="55" spans="2:9">
      <c r="B55">
        <v>1</v>
      </c>
      <c r="C55">
        <f>139/828</f>
        <v>0.1678743961352657</v>
      </c>
      <c r="D55">
        <f>19/589</f>
        <v>3.2258064516129031E-2</v>
      </c>
    </row>
    <row r="56" spans="2:9">
      <c r="B56">
        <v>2</v>
      </c>
      <c r="C56">
        <f>195/860</f>
        <v>0.22674418604651161</v>
      </c>
      <c r="D56">
        <f>19/498</f>
        <v>3.8152610441767071E-2</v>
      </c>
    </row>
    <row r="57" spans="2:9">
      <c r="B57">
        <v>3</v>
      </c>
      <c r="C57">
        <f>215/980</f>
        <v>0.21938775510204081</v>
      </c>
      <c r="D57">
        <f>24/628</f>
        <v>3.8216560509554139E-2</v>
      </c>
    </row>
    <row r="58" spans="2:9">
      <c r="B58">
        <v>4</v>
      </c>
      <c r="C58">
        <f>158/1040</f>
        <v>0.15192307692307691</v>
      </c>
      <c r="D58">
        <f>13/426</f>
        <v>3.0516431924882629E-2</v>
      </c>
      <c r="H58" s="1" t="s">
        <v>21</v>
      </c>
      <c r="I58">
        <v>0.1934092900191747</v>
      </c>
    </row>
    <row r="59" spans="2:9">
      <c r="B59">
        <v>5</v>
      </c>
      <c r="C59">
        <f>170/920</f>
        <v>0.18478260869565216</v>
      </c>
      <c r="D59">
        <f>28/590</f>
        <v>4.7457627118644069E-2</v>
      </c>
      <c r="H59" s="1" t="s">
        <v>22</v>
      </c>
      <c r="I59">
        <v>4.214585474886192E-2</v>
      </c>
    </row>
    <row r="60" spans="2:9">
      <c r="B60">
        <v>6</v>
      </c>
      <c r="C60">
        <f>150/858</f>
        <v>0.17482517482517482</v>
      </c>
      <c r="D60">
        <f>18/489</f>
        <v>3.6809815950920248E-2</v>
      </c>
    </row>
    <row r="61" spans="2:9">
      <c r="B61">
        <v>7</v>
      </c>
      <c r="C61">
        <f>188/790</f>
        <v>0.23797468354430379</v>
      </c>
      <c r="D61">
        <f>15/492</f>
        <v>3.048780487804878E-2</v>
      </c>
    </row>
    <row r="62" spans="2:9">
      <c r="B62">
        <v>8</v>
      </c>
      <c r="C62">
        <f>149/825</f>
        <v>0.1806060606060606</v>
      </c>
      <c r="D62">
        <f>28/455</f>
        <v>6.1538461538461542E-2</v>
      </c>
    </row>
    <row r="63" spans="2:9">
      <c r="B63">
        <v>9</v>
      </c>
      <c r="C63">
        <f>138/742</f>
        <v>0.18598382749326145</v>
      </c>
      <c r="D63">
        <f>29/584</f>
        <v>4.965753424657534E-2</v>
      </c>
    </row>
    <row r="64" spans="2:9">
      <c r="B64">
        <v>10</v>
      </c>
      <c r="C64">
        <f>184/902</f>
        <v>0.2039911308203991</v>
      </c>
      <c r="D64">
        <f>31/550</f>
        <v>5.6363636363636366E-2</v>
      </c>
    </row>
    <row r="65" spans="2:23">
      <c r="B65" t="s">
        <v>1</v>
      </c>
      <c r="C65">
        <f>AVERAGE(C55:C64)</f>
        <v>0.1934092900191747</v>
      </c>
      <c r="D65">
        <f>AVERAGE(D55:D64)</f>
        <v>4.214585474886192E-2</v>
      </c>
    </row>
    <row r="66" spans="2:23">
      <c r="B66" t="s">
        <v>2</v>
      </c>
      <c r="C66">
        <f>STDEV(C55:C64)</f>
        <v>2.7680983091193656E-2</v>
      </c>
      <c r="D66">
        <f>STDEV(D55:D64)</f>
        <v>1.1013322375853722E-2</v>
      </c>
    </row>
    <row r="67" spans="2:23">
      <c r="B67" t="s">
        <v>3</v>
      </c>
      <c r="D67">
        <f>TTEST(D55:D64,C55:C64,2,3)</f>
        <v>2.2796373238220069E-9</v>
      </c>
    </row>
    <row r="70" spans="2:23">
      <c r="B70" s="6" t="s">
        <v>27</v>
      </c>
      <c r="I70" s="3"/>
    </row>
    <row r="71" spans="2:23">
      <c r="C71" s="7" t="s">
        <v>17</v>
      </c>
      <c r="D71" s="8"/>
      <c r="E71" s="8"/>
      <c r="F71" s="7" t="s">
        <v>18</v>
      </c>
      <c r="G71" s="8"/>
      <c r="H71" s="8"/>
    </row>
    <row r="72" spans="2:23">
      <c r="B72" t="s">
        <v>0</v>
      </c>
      <c r="C72" t="s">
        <v>4</v>
      </c>
      <c r="D72" t="s">
        <v>5</v>
      </c>
      <c r="E72" t="s">
        <v>6</v>
      </c>
      <c r="F72" t="s">
        <v>4</v>
      </c>
      <c r="G72" t="s">
        <v>5</v>
      </c>
      <c r="H72" t="s">
        <v>6</v>
      </c>
    </row>
    <row r="73" spans="2:23">
      <c r="B73">
        <v>1</v>
      </c>
      <c r="C73">
        <f>297/855</f>
        <v>0.3473684210526316</v>
      </c>
      <c r="D73">
        <f>89/855</f>
        <v>0.10409356725146199</v>
      </c>
      <c r="E73">
        <f>68/855</f>
        <v>7.9532163742690065E-2</v>
      </c>
      <c r="F73">
        <f>42/458</f>
        <v>9.1703056768558958E-2</v>
      </c>
      <c r="G73">
        <f>37/458</f>
        <v>8.0786026200873357E-2</v>
      </c>
      <c r="H73">
        <f>84/458</f>
        <v>0.18340611353711792</v>
      </c>
    </row>
    <row r="74" spans="2:23">
      <c r="B74">
        <v>2</v>
      </c>
      <c r="C74">
        <f>230/960</f>
        <v>0.23958333333333334</v>
      </c>
      <c r="D74">
        <f>54/960</f>
        <v>5.6250000000000001E-2</v>
      </c>
      <c r="E74">
        <f>52/960</f>
        <v>5.4166666666666669E-2</v>
      </c>
      <c r="F74">
        <f>38/520</f>
        <v>7.3076923076923081E-2</v>
      </c>
      <c r="G74">
        <f>52/520</f>
        <v>0.1</v>
      </c>
      <c r="H74">
        <f>94/520</f>
        <v>0.18076923076923077</v>
      </c>
      <c r="K74" s="5" t="s">
        <v>17</v>
      </c>
      <c r="L74" s="3"/>
      <c r="M74" s="3"/>
      <c r="N74" s="7" t="s">
        <v>18</v>
      </c>
      <c r="O74" s="8"/>
      <c r="P74" s="8"/>
      <c r="U74" t="s">
        <v>14</v>
      </c>
      <c r="V74" t="s">
        <v>15</v>
      </c>
      <c r="W74" t="s">
        <v>16</v>
      </c>
    </row>
    <row r="75" spans="2:23">
      <c r="B75">
        <v>3</v>
      </c>
      <c r="C75">
        <f>192/798</f>
        <v>0.24060150375939848</v>
      </c>
      <c r="D75">
        <f>168/798</f>
        <v>0.21052631578947367</v>
      </c>
      <c r="E75">
        <f>71/798</f>
        <v>8.8972431077694231E-2</v>
      </c>
      <c r="F75">
        <f>21/480</f>
        <v>4.3749999999999997E-2</v>
      </c>
      <c r="G75">
        <f>72/480</f>
        <v>0.15</v>
      </c>
      <c r="H75">
        <f>139/480</f>
        <v>0.28958333333333336</v>
      </c>
      <c r="J75" t="s">
        <v>4</v>
      </c>
      <c r="K75" t="s">
        <v>5</v>
      </c>
      <c r="L75" t="s">
        <v>6</v>
      </c>
      <c r="N75" t="s">
        <v>4</v>
      </c>
      <c r="O75" t="s">
        <v>5</v>
      </c>
      <c r="P75" t="s">
        <v>6</v>
      </c>
      <c r="T75" s="4" t="s">
        <v>19</v>
      </c>
      <c r="U75">
        <v>0.28366073410228865</v>
      </c>
      <c r="V75">
        <v>0.10212273240924352</v>
      </c>
      <c r="W75">
        <v>9.5975792483094916E-2</v>
      </c>
    </row>
    <row r="76" spans="2:23">
      <c r="B76">
        <v>4</v>
      </c>
      <c r="C76">
        <f>188/780</f>
        <v>0.24102564102564103</v>
      </c>
      <c r="D76">
        <f>53/780</f>
        <v>6.7948717948717943E-2</v>
      </c>
      <c r="E76">
        <f>79/780</f>
        <v>0.10128205128205128</v>
      </c>
      <c r="F76">
        <f>52/578</f>
        <v>8.9965397923875437E-2</v>
      </c>
      <c r="G76">
        <f>89/578</f>
        <v>0.15397923875432526</v>
      </c>
      <c r="H76">
        <f>128/578</f>
        <v>0.22145328719723184</v>
      </c>
      <c r="J76">
        <v>0.28366073410228865</v>
      </c>
      <c r="K76">
        <v>0.10212273240924352</v>
      </c>
      <c r="L76">
        <v>9.5975792483094916E-2</v>
      </c>
      <c r="N76">
        <v>9.3017271979863175E-2</v>
      </c>
      <c r="O76">
        <v>0.11726222262742358</v>
      </c>
      <c r="P76">
        <v>0.20680338261761172</v>
      </c>
      <c r="T76" s="4" t="s">
        <v>20</v>
      </c>
      <c r="U76">
        <v>9.3017271979863175E-2</v>
      </c>
      <c r="V76">
        <v>0.12867774774157886</v>
      </c>
      <c r="W76">
        <v>0.20680338261761172</v>
      </c>
    </row>
    <row r="77" spans="2:23">
      <c r="B77">
        <v>5</v>
      </c>
      <c r="C77">
        <f>204/864</f>
        <v>0.2361111111111111</v>
      </c>
      <c r="D77">
        <f>79/864</f>
        <v>9.1435185185185189E-2</v>
      </c>
      <c r="E77">
        <f>89/864</f>
        <v>0.10300925925925926</v>
      </c>
      <c r="F77">
        <f>47/490</f>
        <v>9.5918367346938774E-2</v>
      </c>
      <c r="G77">
        <f>36/490</f>
        <v>7.3469387755102047E-2</v>
      </c>
      <c r="H77">
        <f>106/490</f>
        <v>0.21632653061224491</v>
      </c>
    </row>
    <row r="78" spans="2:23">
      <c r="B78">
        <v>6</v>
      </c>
      <c r="C78">
        <f>239/992</f>
        <v>0.24092741935483872</v>
      </c>
      <c r="D78">
        <f>85/992</f>
        <v>8.5685483870967735E-2</v>
      </c>
      <c r="E78">
        <f>72/992</f>
        <v>7.2580645161290328E-2</v>
      </c>
      <c r="F78">
        <f>58/625</f>
        <v>9.2799999999999994E-2</v>
      </c>
      <c r="G78">
        <f>65/625</f>
        <v>0.104</v>
      </c>
      <c r="H78">
        <f>113/625</f>
        <v>0.18079999999999999</v>
      </c>
    </row>
    <row r="79" spans="2:23">
      <c r="B79">
        <v>7</v>
      </c>
      <c r="C79">
        <f>208/689</f>
        <v>0.30188679245283018</v>
      </c>
      <c r="D79">
        <f>109/689</f>
        <v>0.15820029027576196</v>
      </c>
      <c r="E79">
        <f>95/689</f>
        <v>0.13788098693759071</v>
      </c>
      <c r="F79">
        <f>68/590</f>
        <v>0.11525423728813559</v>
      </c>
      <c r="G79">
        <f>79/590</f>
        <v>0.13389830508474576</v>
      </c>
      <c r="H79">
        <f>92/590</f>
        <v>0.15593220338983052</v>
      </c>
    </row>
    <row r="80" spans="2:23">
      <c r="B80">
        <v>8</v>
      </c>
      <c r="C80">
        <f>286/742</f>
        <v>0.38544474393530997</v>
      </c>
      <c r="D80">
        <f>81/742</f>
        <v>0.1091644204851752</v>
      </c>
      <c r="E80">
        <f>78/742</f>
        <v>0.10512129380053908</v>
      </c>
      <c r="F80">
        <f>72/438</f>
        <v>0.16438356164383561</v>
      </c>
      <c r="G80">
        <f>99/438</f>
        <v>0.22602739726027396</v>
      </c>
      <c r="H80">
        <f>121/438</f>
        <v>0.27625570776255709</v>
      </c>
    </row>
    <row r="81" spans="2:8">
      <c r="B81">
        <v>9</v>
      </c>
      <c r="C81">
        <f>291/856</f>
        <v>0.33995327102803741</v>
      </c>
      <c r="D81">
        <f>59/856</f>
        <v>6.8925233644859807E-2</v>
      </c>
      <c r="E81">
        <f>67/856</f>
        <v>7.8271028037383172E-2</v>
      </c>
      <c r="F81">
        <f>44/577</f>
        <v>7.6256499133448868E-2</v>
      </c>
      <c r="G81">
        <f>68/577</f>
        <v>0.11785095320623917</v>
      </c>
      <c r="H81">
        <f>82/577</f>
        <v>0.14211438474870017</v>
      </c>
    </row>
    <row r="82" spans="2:8">
      <c r="B82">
        <v>10</v>
      </c>
      <c r="C82">
        <f>279/1058</f>
        <v>0.26370510396975427</v>
      </c>
      <c r="D82">
        <f>73/1058</f>
        <v>6.8998109640831765E-2</v>
      </c>
      <c r="E82">
        <f>147/1058</f>
        <v>0.13894139886578449</v>
      </c>
      <c r="F82">
        <f>35/402</f>
        <v>8.7064676616915429E-2</v>
      </c>
      <c r="G82">
        <f>59/402</f>
        <v>0.14676616915422885</v>
      </c>
      <c r="H82">
        <f>89/402</f>
        <v>0.22139303482587064</v>
      </c>
    </row>
    <row r="83" spans="2:8">
      <c r="B83" t="s">
        <v>1</v>
      </c>
      <c r="C83">
        <f>AVERAGE(C73:C82)</f>
        <v>0.28366073410228865</v>
      </c>
      <c r="D83">
        <f t="shared" ref="D83:E83" si="0">AVERAGE(D73:D82)</f>
        <v>0.10212273240924352</v>
      </c>
      <c r="E83">
        <f t="shared" si="0"/>
        <v>9.5975792483094916E-2</v>
      </c>
      <c r="F83">
        <f t="shared" ref="F83" si="1">AVERAGE(F73:F82)</f>
        <v>9.3017271979863175E-2</v>
      </c>
      <c r="G83">
        <f t="shared" ref="G83" si="2">AVERAGE(G73:G82)</f>
        <v>0.12867774774157886</v>
      </c>
      <c r="H83">
        <f t="shared" ref="H83" si="3">AVERAGE(H73:H82)</f>
        <v>0.20680338261761172</v>
      </c>
    </row>
    <row r="84" spans="2:8">
      <c r="B84" t="s">
        <v>2</v>
      </c>
      <c r="C84">
        <f>STDEV(C73:C82)</f>
        <v>5.5796942069339828E-2</v>
      </c>
      <c r="D84">
        <f t="shared" ref="D84:H84" si="4">STDEV(D73:D82)</f>
        <v>4.8080246755763417E-2</v>
      </c>
      <c r="E84">
        <f t="shared" si="4"/>
        <v>2.7267378733020018E-2</v>
      </c>
      <c r="F84">
        <f t="shared" si="4"/>
        <v>3.1177579347119799E-2</v>
      </c>
      <c r="G84">
        <f t="shared" si="4"/>
        <v>4.4492705134903811E-2</v>
      </c>
      <c r="H84">
        <f t="shared" si="4"/>
        <v>4.8152814852267474E-2</v>
      </c>
    </row>
    <row r="85" spans="2:8">
      <c r="B85" t="s">
        <v>3</v>
      </c>
      <c r="F85">
        <f>TTEST(F73:F82,C73:C82,2,3)</f>
        <v>1.7849510782842035E-7</v>
      </c>
      <c r="G85">
        <f t="shared" ref="G85:H85" si="5">TTEST(G73:G82,D73:D82,2,3)</f>
        <v>0.21624233870538589</v>
      </c>
      <c r="H85">
        <f t="shared" si="5"/>
        <v>1.7126643999350742E-5</v>
      </c>
    </row>
  </sheetData>
  <autoFilter ref="K75:K76">
    <filterColumn colId="0">
      <colorFilter dxfId="0"/>
    </filterColumn>
  </autoFilter>
  <mergeCells count="3">
    <mergeCell ref="C71:E71"/>
    <mergeCell ref="F71:H71"/>
    <mergeCell ref="N74:P7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T49"/>
  <sheetViews>
    <sheetView topLeftCell="B1" zoomScale="78" zoomScaleNormal="78" workbookViewId="0">
      <selection activeCell="E53" sqref="E53"/>
    </sheetView>
  </sheetViews>
  <sheetFormatPr defaultRowHeight="15"/>
  <cols>
    <col min="4" max="4" width="12" bestFit="1" customWidth="1"/>
  </cols>
  <sheetData>
    <row r="2" spans="2:4">
      <c r="B2" t="s">
        <v>0</v>
      </c>
      <c r="C2" s="1" t="s">
        <v>8</v>
      </c>
      <c r="D2" s="1" t="s">
        <v>9</v>
      </c>
    </row>
    <row r="3" spans="2:4">
      <c r="B3">
        <v>1</v>
      </c>
      <c r="C3">
        <v>87.256</v>
      </c>
      <c r="D3">
        <v>133.86199999999999</v>
      </c>
    </row>
    <row r="4" spans="2:4">
      <c r="B4">
        <v>2</v>
      </c>
      <c r="C4">
        <v>95.772000000000006</v>
      </c>
      <c r="D4">
        <v>104.28700000000001</v>
      </c>
    </row>
    <row r="5" spans="2:4">
      <c r="B5">
        <v>3</v>
      </c>
      <c r="C5">
        <v>69.694999999999993</v>
      </c>
      <c r="D5">
        <v>156.74799999999999</v>
      </c>
    </row>
    <row r="6" spans="2:4">
      <c r="B6">
        <v>4</v>
      </c>
      <c r="C6">
        <v>56.36</v>
      </c>
      <c r="D6">
        <v>121.51300000000001</v>
      </c>
    </row>
    <row r="7" spans="2:4">
      <c r="B7">
        <v>5</v>
      </c>
      <c r="C7">
        <v>70.307000000000002</v>
      </c>
      <c r="D7">
        <v>146.16999999999999</v>
      </c>
    </row>
    <row r="8" spans="2:4">
      <c r="B8">
        <v>6</v>
      </c>
      <c r="C8">
        <v>71.459999999999994</v>
      </c>
      <c r="D8">
        <v>159.614</v>
      </c>
    </row>
    <row r="9" spans="2:4">
      <c r="B9">
        <v>7</v>
      </c>
      <c r="C9">
        <v>61.238999999999997</v>
      </c>
      <c r="D9">
        <v>147.56</v>
      </c>
    </row>
    <row r="10" spans="2:4">
      <c r="B10">
        <v>8</v>
      </c>
      <c r="C10">
        <v>86.31</v>
      </c>
      <c r="D10">
        <v>154.16399999999999</v>
      </c>
    </row>
    <row r="11" spans="2:4">
      <c r="B11">
        <v>9</v>
      </c>
      <c r="C11">
        <v>67.194999999999993</v>
      </c>
      <c r="D11">
        <v>139.67699999999999</v>
      </c>
    </row>
    <row r="12" spans="2:4">
      <c r="B12">
        <v>10</v>
      </c>
      <c r="C12">
        <v>83.933999999999997</v>
      </c>
      <c r="D12">
        <v>149.643</v>
      </c>
    </row>
    <row r="13" spans="2:4">
      <c r="B13" s="2" t="s">
        <v>1</v>
      </c>
      <c r="C13">
        <f>AVERAGE(C3:C12)</f>
        <v>74.952799999999996</v>
      </c>
      <c r="D13">
        <f>AVERAGE(D3:D12)</f>
        <v>141.32379999999998</v>
      </c>
    </row>
    <row r="14" spans="2:4">
      <c r="B14" s="2" t="s">
        <v>2</v>
      </c>
      <c r="C14">
        <f>STDEV(C3:C12)</f>
        <v>12.692199343603875</v>
      </c>
      <c r="D14">
        <f>STDEV(D3:D12)</f>
        <v>17.293145050375816</v>
      </c>
    </row>
    <row r="15" spans="2:4">
      <c r="B15" s="2" t="s">
        <v>3</v>
      </c>
      <c r="D15">
        <f>TTEST(D3:D12,C3:C12,2,3)</f>
        <v>2.781037967490779E-8</v>
      </c>
    </row>
    <row r="18" spans="2:4" ht="17.25">
      <c r="B18" t="s">
        <v>0</v>
      </c>
      <c r="C18" s="1" t="s">
        <v>10</v>
      </c>
      <c r="D18" s="1" t="s">
        <v>11</v>
      </c>
    </row>
    <row r="19" spans="2:4">
      <c r="B19">
        <v>1</v>
      </c>
      <c r="C19">
        <v>4</v>
      </c>
      <c r="D19">
        <v>159</v>
      </c>
    </row>
    <row r="20" spans="2:4">
      <c r="B20">
        <v>2</v>
      </c>
      <c r="C20">
        <v>8</v>
      </c>
      <c r="D20">
        <v>108</v>
      </c>
    </row>
    <row r="21" spans="2:4">
      <c r="B21">
        <v>3</v>
      </c>
      <c r="C21">
        <v>15</v>
      </c>
      <c r="D21">
        <v>148</v>
      </c>
    </row>
    <row r="22" spans="2:4">
      <c r="B22">
        <v>4</v>
      </c>
      <c r="C22">
        <v>13</v>
      </c>
      <c r="D22">
        <v>115</v>
      </c>
    </row>
    <row r="23" spans="2:4">
      <c r="B23">
        <v>5</v>
      </c>
      <c r="C23">
        <v>7</v>
      </c>
      <c r="D23">
        <v>93</v>
      </c>
    </row>
    <row r="24" spans="2:4">
      <c r="B24">
        <v>6</v>
      </c>
      <c r="C24">
        <v>10</v>
      </c>
      <c r="D24">
        <v>87</v>
      </c>
    </row>
    <row r="25" spans="2:4">
      <c r="B25">
        <v>7</v>
      </c>
      <c r="C25">
        <v>19</v>
      </c>
      <c r="D25">
        <v>117</v>
      </c>
    </row>
    <row r="26" spans="2:4">
      <c r="B26">
        <v>8</v>
      </c>
      <c r="C26">
        <v>5</v>
      </c>
      <c r="D26">
        <v>136</v>
      </c>
    </row>
    <row r="27" spans="2:4">
      <c r="B27">
        <v>9</v>
      </c>
      <c r="C27">
        <v>16</v>
      </c>
      <c r="D27">
        <v>119</v>
      </c>
    </row>
    <row r="28" spans="2:4">
      <c r="B28">
        <v>10</v>
      </c>
      <c r="C28">
        <v>4</v>
      </c>
      <c r="D28">
        <v>75</v>
      </c>
    </row>
    <row r="29" spans="2:4">
      <c r="B29" s="2" t="s">
        <v>1</v>
      </c>
      <c r="C29">
        <f>AVERAGE(C19:C28)</f>
        <v>10.1</v>
      </c>
      <c r="D29">
        <f>AVERAGE(D19:D28)</f>
        <v>115.7</v>
      </c>
    </row>
    <row r="30" spans="2:4">
      <c r="B30" s="2" t="s">
        <v>2</v>
      </c>
      <c r="C30">
        <f>STDEV(C19:C28)</f>
        <v>5.3841330675317529</v>
      </c>
      <c r="D30">
        <f>STDEV(D19:D28)</f>
        <v>26.662708039507176</v>
      </c>
    </row>
    <row r="31" spans="2:4">
      <c r="B31" s="2" t="s">
        <v>3</v>
      </c>
      <c r="D31">
        <f>TTEST(D19:D28,C19:C28,2,3)</f>
        <v>3.055062514856727E-7</v>
      </c>
    </row>
    <row r="35" spans="2:20">
      <c r="C35" s="7" t="s">
        <v>7</v>
      </c>
      <c r="D35" s="8"/>
      <c r="E35" s="8"/>
      <c r="F35" s="7" t="s">
        <v>12</v>
      </c>
      <c r="G35" s="8"/>
      <c r="H35" s="8"/>
      <c r="L35" s="7" t="s">
        <v>7</v>
      </c>
      <c r="M35" s="8"/>
      <c r="N35" s="8"/>
      <c r="R35" s="7" t="s">
        <v>12</v>
      </c>
      <c r="S35" s="8"/>
      <c r="T35" s="8"/>
    </row>
    <row r="36" spans="2:20">
      <c r="B36" t="s">
        <v>0</v>
      </c>
      <c r="C36" t="s">
        <v>4</v>
      </c>
      <c r="D36" t="s">
        <v>5</v>
      </c>
      <c r="E36" t="s">
        <v>6</v>
      </c>
      <c r="F36" t="s">
        <v>4</v>
      </c>
      <c r="G36" t="s">
        <v>5</v>
      </c>
      <c r="H36" t="s">
        <v>6</v>
      </c>
      <c r="L36" t="s">
        <v>4</v>
      </c>
      <c r="M36" t="s">
        <v>5</v>
      </c>
      <c r="N36" t="s">
        <v>6</v>
      </c>
      <c r="R36" t="s">
        <v>4</v>
      </c>
      <c r="S36" t="s">
        <v>5</v>
      </c>
      <c r="T36" t="s">
        <v>6</v>
      </c>
    </row>
    <row r="37" spans="2:20">
      <c r="B37">
        <v>1</v>
      </c>
      <c r="C37">
        <v>109</v>
      </c>
      <c r="D37">
        <v>128</v>
      </c>
      <c r="E37">
        <v>331</v>
      </c>
      <c r="F37">
        <v>239</v>
      </c>
      <c r="G37">
        <v>129</v>
      </c>
      <c r="H37">
        <v>102</v>
      </c>
      <c r="L37">
        <v>81.3</v>
      </c>
      <c r="M37">
        <v>78.099999999999994</v>
      </c>
      <c r="N37">
        <v>318.89999999999998</v>
      </c>
      <c r="R37">
        <v>248.3</v>
      </c>
      <c r="S37">
        <v>124.8</v>
      </c>
      <c r="T37">
        <v>159.69999999999999</v>
      </c>
    </row>
    <row r="38" spans="2:20">
      <c r="B38">
        <v>2</v>
      </c>
      <c r="C38">
        <v>57</v>
      </c>
      <c r="D38">
        <v>68</v>
      </c>
      <c r="E38">
        <v>239</v>
      </c>
      <c r="F38">
        <v>224</v>
      </c>
      <c r="G38">
        <v>94</v>
      </c>
      <c r="H38">
        <v>199</v>
      </c>
    </row>
    <row r="39" spans="2:20">
      <c r="B39">
        <v>3</v>
      </c>
      <c r="C39">
        <v>76</v>
      </c>
      <c r="D39">
        <v>79</v>
      </c>
      <c r="E39">
        <v>250</v>
      </c>
      <c r="F39">
        <v>297</v>
      </c>
      <c r="G39">
        <v>149</v>
      </c>
      <c r="H39">
        <v>171</v>
      </c>
    </row>
    <row r="40" spans="2:20">
      <c r="B40">
        <v>4</v>
      </c>
      <c r="C40">
        <v>99</v>
      </c>
      <c r="D40">
        <v>80</v>
      </c>
      <c r="E40">
        <v>365</v>
      </c>
      <c r="F40">
        <v>280</v>
      </c>
      <c r="G40">
        <v>155</v>
      </c>
      <c r="H40">
        <v>162</v>
      </c>
    </row>
    <row r="41" spans="2:20">
      <c r="B41">
        <v>5</v>
      </c>
      <c r="C41">
        <v>47</v>
      </c>
      <c r="D41">
        <v>63</v>
      </c>
      <c r="E41">
        <v>356</v>
      </c>
      <c r="F41">
        <v>242</v>
      </c>
      <c r="G41">
        <v>111</v>
      </c>
      <c r="H41">
        <v>155</v>
      </c>
    </row>
    <row r="42" spans="2:20">
      <c r="B42">
        <v>6</v>
      </c>
      <c r="C42">
        <v>63</v>
      </c>
      <c r="D42">
        <v>69</v>
      </c>
      <c r="E42">
        <v>340</v>
      </c>
      <c r="F42">
        <v>199</v>
      </c>
      <c r="G42">
        <v>97</v>
      </c>
      <c r="H42">
        <v>180</v>
      </c>
    </row>
    <row r="43" spans="2:20">
      <c r="B43">
        <v>7</v>
      </c>
      <c r="C43">
        <v>105</v>
      </c>
      <c r="D43">
        <v>105</v>
      </c>
      <c r="E43">
        <v>309</v>
      </c>
      <c r="F43">
        <v>289</v>
      </c>
      <c r="G43">
        <v>174</v>
      </c>
      <c r="H43">
        <v>173</v>
      </c>
    </row>
    <row r="44" spans="2:20">
      <c r="B44">
        <v>8</v>
      </c>
      <c r="C44">
        <v>118</v>
      </c>
      <c r="D44">
        <v>93</v>
      </c>
      <c r="E44">
        <v>325</v>
      </c>
      <c r="F44">
        <v>251</v>
      </c>
      <c r="G44">
        <v>109</v>
      </c>
      <c r="H44">
        <v>181</v>
      </c>
    </row>
    <row r="45" spans="2:20">
      <c r="B45">
        <v>9</v>
      </c>
      <c r="C45">
        <v>49</v>
      </c>
      <c r="D45">
        <v>41</v>
      </c>
      <c r="E45">
        <v>341</v>
      </c>
      <c r="F45">
        <v>237</v>
      </c>
      <c r="G45">
        <v>88</v>
      </c>
      <c r="H45">
        <v>167</v>
      </c>
    </row>
    <row r="46" spans="2:20">
      <c r="B46">
        <v>10</v>
      </c>
      <c r="C46">
        <v>70</v>
      </c>
      <c r="D46">
        <v>55</v>
      </c>
      <c r="E46">
        <v>333</v>
      </c>
      <c r="F46">
        <v>225</v>
      </c>
      <c r="G46">
        <v>142</v>
      </c>
      <c r="H46">
        <v>107</v>
      </c>
    </row>
    <row r="47" spans="2:20">
      <c r="B47" t="s">
        <v>1</v>
      </c>
      <c r="C47">
        <f>AVERAGE(C37:C46)</f>
        <v>79.3</v>
      </c>
      <c r="D47">
        <f t="shared" ref="D47:H47" si="0">AVERAGE(D37:D46)</f>
        <v>78.099999999999994</v>
      </c>
      <c r="E47">
        <f t="shared" si="0"/>
        <v>318.89999999999998</v>
      </c>
      <c r="F47">
        <f t="shared" si="0"/>
        <v>248.3</v>
      </c>
      <c r="G47">
        <f t="shared" si="0"/>
        <v>124.8</v>
      </c>
      <c r="H47">
        <f t="shared" si="0"/>
        <v>159.69999999999999</v>
      </c>
    </row>
    <row r="48" spans="2:20">
      <c r="B48" t="s">
        <v>2</v>
      </c>
      <c r="C48">
        <f>STDEV(C37:C46)</f>
        <v>26.352524652403901</v>
      </c>
      <c r="D48">
        <f t="shared" ref="D48:H48" si="1">STDEV(D37:D46)</f>
        <v>25.304588955804487</v>
      </c>
      <c r="E48">
        <f t="shared" si="1"/>
        <v>42.225453092760198</v>
      </c>
      <c r="F48">
        <f t="shared" si="1"/>
        <v>31.372493259754329</v>
      </c>
      <c r="G48">
        <f t="shared" si="1"/>
        <v>29.340150722933327</v>
      </c>
      <c r="H48">
        <f t="shared" si="1"/>
        <v>31.450313547279983</v>
      </c>
    </row>
    <row r="49" spans="2:2">
      <c r="B49" t="s">
        <v>3</v>
      </c>
    </row>
  </sheetData>
  <mergeCells count="4">
    <mergeCell ref="C35:E35"/>
    <mergeCell ref="F35:H35"/>
    <mergeCell ref="L35:N35"/>
    <mergeCell ref="R35:T3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iiser</cp:lastModifiedBy>
  <dcterms:created xsi:type="dcterms:W3CDTF">2019-01-23T15:49:16Z</dcterms:created>
  <dcterms:modified xsi:type="dcterms:W3CDTF">2020-04-07T19:32:04Z</dcterms:modified>
</cp:coreProperties>
</file>