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BB3D8E19-2905-834C-993E-B9973B60D27C}" xr6:coauthVersionLast="45" xr6:coauthVersionMax="45" xr10:uidLastSave="{00000000-0000-0000-0000-000000000000}"/>
  <bookViews>
    <workbookView xWindow="0" yWindow="460" windowWidth="20520" windowHeight="9420" activeTab="1" xr2:uid="{00000000-000D-0000-FFFF-FFFF00000000}"/>
  </bookViews>
  <sheets>
    <sheet name="Iba-1" sheetId="1" r:id="rId1"/>
    <sheet name="Figure 9 (iX)-Iba-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" l="1"/>
  <c r="C19" i="2" s="1"/>
  <c r="B19" i="2"/>
  <c r="B20" i="2"/>
  <c r="C20" i="2" s="1"/>
  <c r="B21" i="2"/>
  <c r="C21" i="2"/>
  <c r="R73" i="1" l="1"/>
  <c r="I73" i="1"/>
  <c r="R72" i="1"/>
  <c r="I72" i="1"/>
  <c r="Q71" i="1"/>
  <c r="R71" i="1" s="1"/>
  <c r="S71" i="1" s="1"/>
  <c r="I71" i="1"/>
  <c r="G71" i="1"/>
  <c r="D71" i="1"/>
  <c r="E62" i="1" s="1"/>
  <c r="R70" i="1"/>
  <c r="I70" i="1"/>
  <c r="R69" i="1"/>
  <c r="I69" i="1"/>
  <c r="Q68" i="1"/>
  <c r="R68" i="1" s="1"/>
  <c r="S68" i="1" s="1"/>
  <c r="I68" i="1"/>
  <c r="G68" i="1"/>
  <c r="D68" i="1"/>
  <c r="R67" i="1"/>
  <c r="I67" i="1"/>
  <c r="R66" i="1"/>
  <c r="I66" i="1"/>
  <c r="Q65" i="1"/>
  <c r="R65" i="1" s="1"/>
  <c r="S65" i="1" s="1"/>
  <c r="I65" i="1"/>
  <c r="J65" i="1" s="1"/>
  <c r="G65" i="1"/>
  <c r="D65" i="1"/>
  <c r="R64" i="1"/>
  <c r="I64" i="1"/>
  <c r="R63" i="1"/>
  <c r="I63" i="1"/>
  <c r="Q62" i="1"/>
  <c r="R62" i="1" s="1"/>
  <c r="S62" i="1" s="1"/>
  <c r="I62" i="1"/>
  <c r="J62" i="1" s="1"/>
  <c r="K62" i="1" s="1"/>
  <c r="L62" i="1" s="1"/>
  <c r="G62" i="1"/>
  <c r="H62" i="1" s="1"/>
  <c r="D62" i="1"/>
  <c r="R61" i="1"/>
  <c r="I61" i="1"/>
  <c r="I60" i="1"/>
  <c r="Q59" i="1"/>
  <c r="Q60" i="1" s="1"/>
  <c r="R60" i="1" s="1"/>
  <c r="I59" i="1"/>
  <c r="J59" i="1" s="1"/>
  <c r="K59" i="1" s="1"/>
  <c r="L59" i="1" s="1"/>
  <c r="G59" i="1"/>
  <c r="D59" i="1"/>
  <c r="R58" i="1"/>
  <c r="I58" i="1"/>
  <c r="I57" i="1"/>
  <c r="Q56" i="1"/>
  <c r="R56" i="1" s="1"/>
  <c r="S56" i="1" s="1"/>
  <c r="I56" i="1"/>
  <c r="G56" i="1"/>
  <c r="D56" i="1"/>
  <c r="R55" i="1"/>
  <c r="I55" i="1"/>
  <c r="I54" i="1"/>
  <c r="Q53" i="1"/>
  <c r="Q54" i="1" s="1"/>
  <c r="R54" i="1" s="1"/>
  <c r="I53" i="1"/>
  <c r="J53" i="1" s="1"/>
  <c r="K53" i="1" s="1"/>
  <c r="L53" i="1" s="1"/>
  <c r="G53" i="1"/>
  <c r="D53" i="1"/>
  <c r="R52" i="1"/>
  <c r="I52" i="1"/>
  <c r="I51" i="1"/>
  <c r="Q50" i="1"/>
  <c r="R50" i="1" s="1"/>
  <c r="S50" i="1" s="1"/>
  <c r="I50" i="1"/>
  <c r="G50" i="1"/>
  <c r="D50" i="1"/>
  <c r="R49" i="1"/>
  <c r="I49" i="1"/>
  <c r="I48" i="1"/>
  <c r="Q47" i="1"/>
  <c r="R47" i="1" s="1"/>
  <c r="S47" i="1" s="1"/>
  <c r="I47" i="1"/>
  <c r="G47" i="1"/>
  <c r="D47" i="1"/>
  <c r="R46" i="1"/>
  <c r="I46" i="1"/>
  <c r="I45" i="1"/>
  <c r="Q44" i="1"/>
  <c r="R44" i="1" s="1"/>
  <c r="S44" i="1" s="1"/>
  <c r="I44" i="1"/>
  <c r="J44" i="1" s="1"/>
  <c r="K44" i="1" s="1"/>
  <c r="L44" i="1" s="1"/>
  <c r="G44" i="1"/>
  <c r="D44" i="1"/>
  <c r="R43" i="1"/>
  <c r="I43" i="1"/>
  <c r="I42" i="1"/>
  <c r="Q41" i="1"/>
  <c r="R41" i="1" s="1"/>
  <c r="S41" i="1" s="1"/>
  <c r="I41" i="1"/>
  <c r="G41" i="1"/>
  <c r="D41" i="1"/>
  <c r="R40" i="1"/>
  <c r="I40" i="1"/>
  <c r="I39" i="1"/>
  <c r="Q38" i="1"/>
  <c r="Q39" i="1" s="1"/>
  <c r="R39" i="1" s="1"/>
  <c r="I38" i="1"/>
  <c r="J38" i="1" s="1"/>
  <c r="G38" i="1"/>
  <c r="H38" i="1" s="1"/>
  <c r="D38" i="1"/>
  <c r="R37" i="1"/>
  <c r="I37" i="1"/>
  <c r="I36" i="1"/>
  <c r="Q35" i="1"/>
  <c r="R35" i="1" s="1"/>
  <c r="S35" i="1" s="1"/>
  <c r="I35" i="1"/>
  <c r="G35" i="1"/>
  <c r="D35" i="1"/>
  <c r="R34" i="1"/>
  <c r="I34" i="1"/>
  <c r="I33" i="1"/>
  <c r="J32" i="1" s="1"/>
  <c r="K32" i="1" s="1"/>
  <c r="L32" i="1" s="1"/>
  <c r="R32" i="1"/>
  <c r="S32" i="1" s="1"/>
  <c r="Q32" i="1"/>
  <c r="Q33" i="1" s="1"/>
  <c r="R33" i="1" s="1"/>
  <c r="I32" i="1"/>
  <c r="G32" i="1"/>
  <c r="D32" i="1"/>
  <c r="R31" i="1"/>
  <c r="I31" i="1"/>
  <c r="I30" i="1"/>
  <c r="Q29" i="1"/>
  <c r="R29" i="1" s="1"/>
  <c r="S29" i="1" s="1"/>
  <c r="I29" i="1"/>
  <c r="J29" i="1" s="1"/>
  <c r="K29" i="1" s="1"/>
  <c r="L29" i="1" s="1"/>
  <c r="G29" i="1"/>
  <c r="D29" i="1"/>
  <c r="R28" i="1"/>
  <c r="I28" i="1"/>
  <c r="I27" i="1"/>
  <c r="Q26" i="1"/>
  <c r="Q27" i="1" s="1"/>
  <c r="R27" i="1" s="1"/>
  <c r="I26" i="1"/>
  <c r="G26" i="1"/>
  <c r="D26" i="1"/>
  <c r="R25" i="1"/>
  <c r="I25" i="1"/>
  <c r="R24" i="1"/>
  <c r="I24" i="1"/>
  <c r="Q23" i="1"/>
  <c r="R23" i="1" s="1"/>
  <c r="S23" i="1" s="1"/>
  <c r="I23" i="1"/>
  <c r="G23" i="1"/>
  <c r="D23" i="1"/>
  <c r="R22" i="1"/>
  <c r="I22" i="1"/>
  <c r="R21" i="1"/>
  <c r="I21" i="1"/>
  <c r="X20" i="1"/>
  <c r="Y20" i="1" s="1"/>
  <c r="Q20" i="1"/>
  <c r="R20" i="1" s="1"/>
  <c r="S20" i="1" s="1"/>
  <c r="I20" i="1"/>
  <c r="J20" i="1" s="1"/>
  <c r="K20" i="1" s="1"/>
  <c r="L20" i="1" s="1"/>
  <c r="G20" i="1"/>
  <c r="D20" i="1"/>
  <c r="X19" i="1"/>
  <c r="R19" i="1"/>
  <c r="I19" i="1"/>
  <c r="X18" i="1"/>
  <c r="R18" i="1"/>
  <c r="I18" i="1"/>
  <c r="X17" i="1"/>
  <c r="Y19" i="1" s="1"/>
  <c r="Q17" i="1"/>
  <c r="R17" i="1" s="1"/>
  <c r="S17" i="1" s="1"/>
  <c r="I17" i="1"/>
  <c r="J17" i="1" s="1"/>
  <c r="K17" i="1" s="1"/>
  <c r="L17" i="1" s="1"/>
  <c r="G17" i="1"/>
  <c r="D17" i="1"/>
  <c r="R16" i="1"/>
  <c r="I16" i="1"/>
  <c r="R15" i="1"/>
  <c r="I15" i="1"/>
  <c r="AD14" i="1"/>
  <c r="AE14" i="1" s="1"/>
  <c r="Q14" i="1"/>
  <c r="R14" i="1" s="1"/>
  <c r="S14" i="1" s="1"/>
  <c r="I14" i="1"/>
  <c r="J14" i="1" s="1"/>
  <c r="G14" i="1"/>
  <c r="D14" i="1"/>
  <c r="AD13" i="1"/>
  <c r="AE13" i="1" s="1"/>
  <c r="R13" i="1"/>
  <c r="I13" i="1"/>
  <c r="AD12" i="1"/>
  <c r="AE12" i="1" s="1"/>
  <c r="R12" i="1"/>
  <c r="I12" i="1"/>
  <c r="AD11" i="1"/>
  <c r="AE11" i="1" s="1"/>
  <c r="Q11" i="1"/>
  <c r="R11" i="1" s="1"/>
  <c r="S11" i="1" s="1"/>
  <c r="I11" i="1"/>
  <c r="G11" i="1"/>
  <c r="D11" i="1"/>
  <c r="AD10" i="1"/>
  <c r="AE10" i="1" s="1"/>
  <c r="R10" i="1"/>
  <c r="I10" i="1"/>
  <c r="AD9" i="1"/>
  <c r="AE9" i="1" s="1"/>
  <c r="R9" i="1"/>
  <c r="I9" i="1"/>
  <c r="Q8" i="1"/>
  <c r="R8" i="1" s="1"/>
  <c r="S8" i="1" s="1"/>
  <c r="I8" i="1"/>
  <c r="G8" i="1"/>
  <c r="D8" i="1"/>
  <c r="R7" i="1"/>
  <c r="I7" i="1"/>
  <c r="R6" i="1"/>
  <c r="I6" i="1"/>
  <c r="T5" i="1"/>
  <c r="T6" i="1" s="1"/>
  <c r="Q5" i="1"/>
  <c r="R5" i="1" s="1"/>
  <c r="S5" i="1" s="1"/>
  <c r="I5" i="1"/>
  <c r="G5" i="1"/>
  <c r="D5" i="1"/>
  <c r="R4" i="1"/>
  <c r="I4" i="1"/>
  <c r="R3" i="1"/>
  <c r="I3" i="1"/>
  <c r="Q2" i="1"/>
  <c r="R2" i="1" s="1"/>
  <c r="S2" i="1" s="1"/>
  <c r="I2" i="1"/>
  <c r="J2" i="1" s="1"/>
  <c r="G2" i="1"/>
  <c r="H2" i="1" s="1"/>
  <c r="D2" i="1"/>
  <c r="E2" i="1" s="1"/>
  <c r="M62" i="1" l="1"/>
  <c r="H26" i="1"/>
  <c r="H50" i="1"/>
  <c r="E14" i="1"/>
  <c r="R53" i="1"/>
  <c r="S53" i="1" s="1"/>
  <c r="J11" i="1"/>
  <c r="K11" i="1" s="1"/>
  <c r="L11" i="1" s="1"/>
  <c r="J26" i="1"/>
  <c r="K26" i="1" s="1"/>
  <c r="J35" i="1"/>
  <c r="K35" i="1" s="1"/>
  <c r="L35" i="1" s="1"/>
  <c r="J50" i="1"/>
  <c r="K50" i="1" s="1"/>
  <c r="J71" i="1"/>
  <c r="K71" i="1" s="1"/>
  <c r="L71" i="1" s="1"/>
  <c r="E26" i="1"/>
  <c r="J8" i="1"/>
  <c r="K8" i="1" s="1"/>
  <c r="L8" i="1" s="1"/>
  <c r="R59" i="1"/>
  <c r="S59" i="1" s="1"/>
  <c r="E50" i="1"/>
  <c r="R26" i="1"/>
  <c r="S26" i="1" s="1"/>
  <c r="J41" i="1"/>
  <c r="K41" i="1" s="1"/>
  <c r="L41" i="1" s="1"/>
  <c r="H14" i="1"/>
  <c r="J23" i="1"/>
  <c r="K23" i="1" s="1"/>
  <c r="L23" i="1" s="1"/>
  <c r="J56" i="1"/>
  <c r="K56" i="1" s="1"/>
  <c r="L56" i="1" s="1"/>
  <c r="J68" i="1"/>
  <c r="K68" i="1" s="1"/>
  <c r="L68" i="1" s="1"/>
  <c r="J5" i="1"/>
  <c r="K5" i="1" s="1"/>
  <c r="L5" i="1" s="1"/>
  <c r="E38" i="1"/>
  <c r="J47" i="1"/>
  <c r="K47" i="1" s="1"/>
  <c r="L47" i="1" s="1"/>
  <c r="M14" i="1"/>
  <c r="K14" i="1"/>
  <c r="K38" i="1"/>
  <c r="K2" i="1"/>
  <c r="Q45" i="1"/>
  <c r="R45" i="1" s="1"/>
  <c r="Q30" i="1"/>
  <c r="R30" i="1" s="1"/>
  <c r="Q36" i="1"/>
  <c r="R36" i="1" s="1"/>
  <c r="R38" i="1"/>
  <c r="S38" i="1" s="1"/>
  <c r="Q51" i="1"/>
  <c r="R51" i="1" s="1"/>
  <c r="Q57" i="1"/>
  <c r="R57" i="1" s="1"/>
  <c r="K65" i="1"/>
  <c r="Q42" i="1"/>
  <c r="R42" i="1" s="1"/>
  <c r="Q48" i="1"/>
  <c r="R48" i="1" s="1"/>
  <c r="Y18" i="1"/>
  <c r="M2" i="1" l="1"/>
  <c r="M50" i="1"/>
  <c r="M38" i="1"/>
  <c r="M26" i="1"/>
  <c r="L26" i="1"/>
  <c r="N26" i="1"/>
  <c r="N50" i="1"/>
  <c r="L50" i="1"/>
  <c r="N14" i="1"/>
  <c r="O14" i="1" s="1"/>
  <c r="L14" i="1"/>
  <c r="L65" i="1"/>
  <c r="N62" i="1"/>
  <c r="O62" i="1" s="1"/>
  <c r="N2" i="1"/>
  <c r="L2" i="1"/>
  <c r="N38" i="1"/>
  <c r="O38" i="1" s="1"/>
  <c r="L38" i="1"/>
  <c r="O50" i="1" l="1"/>
  <c r="O26" i="1"/>
  <c r="O2" i="1"/>
</calcChain>
</file>

<file path=xl/sharedStrings.xml><?xml version="1.0" encoding="utf-8"?>
<sst xmlns="http://schemas.openxmlformats.org/spreadsheetml/2006/main" count="145" uniqueCount="126">
  <si>
    <t>resting(N)</t>
    <phoneticPr fontId="3" type="noConversion"/>
  </si>
  <si>
    <t>active(N)</t>
    <phoneticPr fontId="3" type="noConversion"/>
  </si>
  <si>
    <t>resting(%)</t>
    <phoneticPr fontId="3" type="noConversion"/>
  </si>
  <si>
    <t>active(%)</t>
    <phoneticPr fontId="3" type="noConversion"/>
  </si>
  <si>
    <t>Activated/Resting</t>
    <phoneticPr fontId="3" type="noConversion"/>
  </si>
  <si>
    <t>average resting(%)</t>
    <phoneticPr fontId="3" type="noConversion"/>
  </si>
  <si>
    <t>average active(%)</t>
    <phoneticPr fontId="3" type="noConversion"/>
  </si>
  <si>
    <t>Iba-1</t>
    <phoneticPr fontId="3" type="noConversion"/>
  </si>
  <si>
    <t>average-Iba-1</t>
    <phoneticPr fontId="3" type="noConversion"/>
  </si>
  <si>
    <t>Iba1/mm2</t>
    <phoneticPr fontId="3" type="noConversion"/>
  </si>
  <si>
    <t>面積</t>
    <phoneticPr fontId="4" type="noConversion"/>
  </si>
  <si>
    <t>sham</t>
    <phoneticPr fontId="3" type="noConversion"/>
  </si>
  <si>
    <t>sham+DP(0.5)</t>
    <phoneticPr fontId="3" type="noConversion"/>
  </si>
  <si>
    <t>TBI+Veh</t>
    <phoneticPr fontId="3" type="noConversion"/>
  </si>
  <si>
    <t>TBI+Pom(0.5)</t>
    <phoneticPr fontId="3" type="noConversion"/>
  </si>
  <si>
    <t>TBI+DP(0.5)</t>
    <phoneticPr fontId="3" type="noConversion"/>
  </si>
  <si>
    <t>TBI+DP(0.1)</t>
    <phoneticPr fontId="3" type="noConversion"/>
  </si>
  <si>
    <t>SH</t>
    <phoneticPr fontId="3" type="noConversion"/>
  </si>
  <si>
    <t>138-1</t>
    <phoneticPr fontId="3" type="noConversion"/>
  </si>
  <si>
    <t>um</t>
    <phoneticPr fontId="4" type="noConversion"/>
  </si>
  <si>
    <t>138-2</t>
  </si>
  <si>
    <t>um</t>
    <phoneticPr fontId="4" type="noConversion"/>
  </si>
  <si>
    <t>138-3</t>
  </si>
  <si>
    <t>139-1</t>
    <phoneticPr fontId="3" type="noConversion"/>
  </si>
  <si>
    <t>um2</t>
    <phoneticPr fontId="4" type="noConversion"/>
  </si>
  <si>
    <t>139-2</t>
  </si>
  <si>
    <t>mm2</t>
    <phoneticPr fontId="4" type="noConversion"/>
  </si>
  <si>
    <t>139-3</t>
  </si>
  <si>
    <t>140-1</t>
    <phoneticPr fontId="3" type="noConversion"/>
  </si>
  <si>
    <t xml:space="preserve">Group Name </t>
  </si>
  <si>
    <t xml:space="preserve">N </t>
  </si>
  <si>
    <t>Missing</t>
  </si>
  <si>
    <t>Mean</t>
  </si>
  <si>
    <t>Std Dev</t>
  </si>
  <si>
    <t>SEM</t>
  </si>
  <si>
    <t>140-2</t>
  </si>
  <si>
    <t>140-3</t>
  </si>
  <si>
    <t>151-1</t>
    <phoneticPr fontId="3" type="noConversion"/>
  </si>
  <si>
    <t>151-2</t>
  </si>
  <si>
    <t>151-3</t>
  </si>
  <si>
    <t>SH+DP</t>
    <phoneticPr fontId="3" type="noConversion"/>
  </si>
  <si>
    <t>146-1</t>
    <phoneticPr fontId="3" type="noConversion"/>
  </si>
  <si>
    <t>146-2</t>
  </si>
  <si>
    <t>146-3</t>
  </si>
  <si>
    <t>147-1</t>
    <phoneticPr fontId="3" type="noConversion"/>
  </si>
  <si>
    <t>TBI+Veh V.S. Sham</t>
    <phoneticPr fontId="3" type="noConversion"/>
  </si>
  <si>
    <t>147-2</t>
  </si>
  <si>
    <t>TBI+Pom(0.5) V.S. Sham</t>
    <phoneticPr fontId="3" type="noConversion"/>
  </si>
  <si>
    <t>TBI+Pom(0.5) V.S. TBI+Veh</t>
    <phoneticPr fontId="3" type="noConversion"/>
  </si>
  <si>
    <t>147-3</t>
  </si>
  <si>
    <t>TBI+DP(0.5) V.S. Sham</t>
    <phoneticPr fontId="3" type="noConversion"/>
  </si>
  <si>
    <t>TBI+DP(0.5) V.S. TBI+Veh</t>
    <phoneticPr fontId="3" type="noConversion"/>
  </si>
  <si>
    <t>148-1</t>
    <phoneticPr fontId="3" type="noConversion"/>
  </si>
  <si>
    <t>TBI+DP(0.1) V.S. Sham</t>
    <phoneticPr fontId="3" type="noConversion"/>
  </si>
  <si>
    <t>TBI+DP(0.1) V.S. TBI+Veh</t>
    <phoneticPr fontId="3" type="noConversion"/>
  </si>
  <si>
    <t>148-2</t>
  </si>
  <si>
    <t>148-3</t>
  </si>
  <si>
    <t>149-1</t>
    <phoneticPr fontId="3" type="noConversion"/>
  </si>
  <si>
    <t>149-2</t>
  </si>
  <si>
    <t>149-3</t>
  </si>
  <si>
    <t>TBI+VEH</t>
    <phoneticPr fontId="3" type="noConversion"/>
  </si>
  <si>
    <t>132-1</t>
    <phoneticPr fontId="3" type="noConversion"/>
  </si>
  <si>
    <t>132-2</t>
  </si>
  <si>
    <t>132-3</t>
  </si>
  <si>
    <t>133-1</t>
    <phoneticPr fontId="3" type="noConversion"/>
  </si>
  <si>
    <t>133-2</t>
  </si>
  <si>
    <t>133-3</t>
  </si>
  <si>
    <t>134-1</t>
    <phoneticPr fontId="3" type="noConversion"/>
  </si>
  <si>
    <t>134-2</t>
  </si>
  <si>
    <t>134-3</t>
  </si>
  <si>
    <t>135-1</t>
    <phoneticPr fontId="3" type="noConversion"/>
  </si>
  <si>
    <t>135-2</t>
  </si>
  <si>
    <t>135-3</t>
  </si>
  <si>
    <t>TBI+Pom</t>
    <phoneticPr fontId="3" type="noConversion"/>
  </si>
  <si>
    <t>78-1</t>
    <phoneticPr fontId="3" type="noConversion"/>
  </si>
  <si>
    <t>78-2</t>
  </si>
  <si>
    <t>78-3</t>
  </si>
  <si>
    <t>79-1</t>
    <phoneticPr fontId="3" type="noConversion"/>
  </si>
  <si>
    <t>79-2</t>
  </si>
  <si>
    <t>79-3</t>
  </si>
  <si>
    <t>177-1</t>
    <phoneticPr fontId="3" type="noConversion"/>
  </si>
  <si>
    <t>177-2</t>
  </si>
  <si>
    <t>177-3</t>
  </si>
  <si>
    <t>178-1</t>
    <phoneticPr fontId="3" type="noConversion"/>
  </si>
  <si>
    <t>178-2</t>
  </si>
  <si>
    <t>178-3</t>
  </si>
  <si>
    <t>TBI+DP0.5</t>
    <phoneticPr fontId="3" type="noConversion"/>
  </si>
  <si>
    <t>143-1</t>
    <phoneticPr fontId="3" type="noConversion"/>
  </si>
  <si>
    <t>143-2</t>
  </si>
  <si>
    <t>143-3</t>
  </si>
  <si>
    <t>145-1</t>
    <phoneticPr fontId="3" type="noConversion"/>
  </si>
  <si>
    <t>145-2</t>
  </si>
  <si>
    <t>145-3</t>
  </si>
  <si>
    <t>192-1</t>
    <phoneticPr fontId="3" type="noConversion"/>
  </si>
  <si>
    <t>192-2</t>
  </si>
  <si>
    <t>192-3</t>
  </si>
  <si>
    <t>193-1</t>
    <phoneticPr fontId="3" type="noConversion"/>
  </si>
  <si>
    <t>193-2</t>
  </si>
  <si>
    <t>193-3</t>
  </si>
  <si>
    <t>TBI+DP0.1</t>
    <phoneticPr fontId="3" type="noConversion"/>
  </si>
  <si>
    <t>183-1</t>
    <phoneticPr fontId="3" type="noConversion"/>
  </si>
  <si>
    <t>183-2</t>
  </si>
  <si>
    <t>183-3</t>
  </si>
  <si>
    <t>186-1</t>
    <phoneticPr fontId="3" type="noConversion"/>
  </si>
  <si>
    <t>186-2</t>
  </si>
  <si>
    <t>186-3</t>
  </si>
  <si>
    <t>187-1</t>
    <phoneticPr fontId="3" type="noConversion"/>
  </si>
  <si>
    <t>187-2</t>
  </si>
  <si>
    <t>187-3</t>
  </si>
  <si>
    <t>188-1</t>
    <phoneticPr fontId="3" type="noConversion"/>
  </si>
  <si>
    <t>188-2</t>
  </si>
  <si>
    <t>188-3</t>
  </si>
  <si>
    <t>TBI+DP(0.1) V.S. TBI+Veh</t>
    <phoneticPr fontId="3" type="noConversion"/>
  </si>
  <si>
    <t>TBI+DP(0.1) V.S. Sham</t>
    <phoneticPr fontId="3" type="noConversion"/>
  </si>
  <si>
    <t>TBI+DP(0.5) V.S. TBI+Veh</t>
    <phoneticPr fontId="3" type="noConversion"/>
  </si>
  <si>
    <t>TBI+DP(0.5) V.S. Sham</t>
    <phoneticPr fontId="3" type="noConversion"/>
  </si>
  <si>
    <t>TBI+Pom(0.5) V.S. TBI+Veh</t>
    <phoneticPr fontId="3" type="noConversion"/>
  </si>
  <si>
    <t>TBI+Pom(0.5) V.S. Sham</t>
    <phoneticPr fontId="3" type="noConversion"/>
  </si>
  <si>
    <t>TBI+Veh V.S. Sham</t>
    <phoneticPr fontId="3" type="noConversion"/>
  </si>
  <si>
    <t>TBI+DP(0.1)</t>
    <phoneticPr fontId="3" type="noConversion"/>
  </si>
  <si>
    <t>TBI+DP(0.5)</t>
    <phoneticPr fontId="3" type="noConversion"/>
  </si>
  <si>
    <t>TBI+Pom(0.5)</t>
    <phoneticPr fontId="3" type="noConversion"/>
  </si>
  <si>
    <t>TBI+Veh</t>
    <phoneticPr fontId="3" type="noConversion"/>
  </si>
  <si>
    <t>sham+DP(0.5)</t>
    <phoneticPr fontId="3" type="noConversion"/>
  </si>
  <si>
    <t>sham</t>
    <phoneticPr fontId="3" type="noConversion"/>
  </si>
  <si>
    <t>Iba-1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</si>
</sst>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9"/>
      <name val="Calibri"/>
      <family val="1"/>
      <charset val="136"/>
      <scheme val="minor"/>
    </font>
    <font>
      <sz val="9"/>
      <name val="Calibri"/>
      <family val="2"/>
      <charset val="136"/>
      <scheme val="minor"/>
    </font>
    <font>
      <b/>
      <sz val="16"/>
      <color theme="1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9" fontId="0" fillId="0" borderId="0" xfId="1" applyFont="1">
      <alignment vertical="center"/>
    </xf>
    <xf numFmtId="0" fontId="0" fillId="0" borderId="0" xfId="1" applyNumberFormat="1" applyFont="1">
      <alignment vertical="center"/>
    </xf>
    <xf numFmtId="9" fontId="0" fillId="0" borderId="0" xfId="1" applyNumberFormat="1" applyFont="1">
      <alignment vertical="center"/>
    </xf>
    <xf numFmtId="2" fontId="0" fillId="0" borderId="0" xfId="0" applyNumberFormat="1">
      <alignment vertical="center"/>
    </xf>
    <xf numFmtId="0" fontId="1" fillId="0" borderId="0" xfId="2">
      <alignment vertical="center"/>
    </xf>
    <xf numFmtId="2" fontId="1" fillId="2" borderId="0" xfId="2" applyNumberFormat="1" applyFill="1">
      <alignment vertical="center"/>
    </xf>
    <xf numFmtId="0" fontId="5" fillId="0" borderId="0" xfId="2" applyFont="1">
      <alignment vertical="center"/>
    </xf>
  </cellXfs>
  <cellStyles count="3">
    <cellStyle name="Normal" xfId="0" builtinId="0"/>
    <cellStyle name="Percent" xfId="1" builtinId="5"/>
    <cellStyle name="一般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topLeftCell="K1" zoomScaleNormal="100" workbookViewId="0">
      <selection activeCell="R48" sqref="R48"/>
    </sheetView>
  </sheetViews>
  <sheetFormatPr baseColWidth="10" defaultColWidth="8.83203125" defaultRowHeight="16" x14ac:dyDescent="0.2"/>
  <cols>
    <col min="1" max="1" width="11.5" bestFit="1" customWidth="1"/>
    <col min="3" max="3" width="9" style="7"/>
    <col min="4" max="5" width="9" style="8"/>
    <col min="6" max="8" width="9" style="7"/>
    <col min="9" max="9" width="9" style="3"/>
    <col min="10" max="10" width="9.1640625" style="9" customWidth="1"/>
    <col min="11" max="12" width="9" style="9"/>
    <col min="13" max="13" width="15.6640625" style="9" bestFit="1" customWidth="1"/>
    <col min="14" max="14" width="16.5" style="9" bestFit="1" customWidth="1"/>
    <col min="15" max="15" width="16.5" style="9" customWidth="1"/>
    <col min="17" max="17" width="12.83203125" bestFit="1" customWidth="1"/>
    <col min="23" max="23" width="23" bestFit="1" customWidth="1"/>
    <col min="24" max="24" width="13" bestFit="1" customWidth="1"/>
    <col min="25" max="25" width="12.1640625" bestFit="1" customWidth="1"/>
    <col min="26" max="26" width="26.33203125" bestFit="1" customWidth="1"/>
    <col min="27" max="28" width="12.1640625" bestFit="1" customWidth="1"/>
  </cols>
  <sheetData>
    <row r="1" spans="1:31" x14ac:dyDescent="0.2">
      <c r="C1" s="1" t="s">
        <v>0</v>
      </c>
      <c r="D1" s="2"/>
      <c r="E1" s="2"/>
      <c r="F1" s="1" t="s">
        <v>1</v>
      </c>
      <c r="G1" s="1"/>
      <c r="H1" s="1"/>
      <c r="J1" s="4" t="s">
        <v>2</v>
      </c>
      <c r="K1" s="4" t="s">
        <v>3</v>
      </c>
      <c r="L1" s="4" t="s">
        <v>4</v>
      </c>
      <c r="M1" s="4" t="s">
        <v>5</v>
      </c>
      <c r="N1" s="4" t="s">
        <v>6</v>
      </c>
      <c r="O1" s="4" t="s">
        <v>4</v>
      </c>
      <c r="P1" s="5" t="s">
        <v>7</v>
      </c>
      <c r="Q1" t="s">
        <v>8</v>
      </c>
      <c r="R1" t="s">
        <v>9</v>
      </c>
      <c r="T1" t="s">
        <v>10</v>
      </c>
      <c r="W1" t="s">
        <v>11</v>
      </c>
      <c r="X1" t="s">
        <v>12</v>
      </c>
      <c r="Y1" t="s">
        <v>13</v>
      </c>
      <c r="Z1" t="s">
        <v>14</v>
      </c>
      <c r="AA1" t="s">
        <v>15</v>
      </c>
      <c r="AB1" t="s">
        <v>16</v>
      </c>
    </row>
    <row r="2" spans="1:31" x14ac:dyDescent="0.2">
      <c r="A2" t="s">
        <v>17</v>
      </c>
      <c r="B2" s="6" t="s">
        <v>18</v>
      </c>
      <c r="C2" s="7">
        <v>16</v>
      </c>
      <c r="D2" s="8">
        <f>AVERAGE(C2:C4)/0.263717</f>
        <v>78.366835155362267</v>
      </c>
      <c r="E2" s="8">
        <f>AVERAGE(D2,D5,D8,D11,)</f>
        <v>52.328822184387057</v>
      </c>
      <c r="F2" s="7">
        <v>5</v>
      </c>
      <c r="G2" s="8">
        <f>AVERAGE(F2:F4)/0.263717</f>
        <v>20.223699394932193</v>
      </c>
      <c r="H2" s="8">
        <f>AVERAGE(G2,G5,G8,G11,)</f>
        <v>12.892608364269273</v>
      </c>
      <c r="I2" s="3">
        <f t="shared" ref="I2:I65" si="0">C2/(C2+F2)</f>
        <v>0.76190476190476186</v>
      </c>
      <c r="J2" s="9">
        <f>AVERAGE(I2:I4)</f>
        <v>0.79223985890652548</v>
      </c>
      <c r="K2" s="9">
        <f>100%-J2</f>
        <v>0.20776014109347452</v>
      </c>
      <c r="L2" s="10">
        <f>K2/J2</f>
        <v>0.26224398931433673</v>
      </c>
      <c r="M2" s="11">
        <f>AVERAGE(J2,J5,J8,J11)</f>
        <v>0.8013693218737078</v>
      </c>
      <c r="N2" s="11">
        <f>AVERAGE(K2,K5,K8,K11)</f>
        <v>0.19863067812629218</v>
      </c>
      <c r="O2" s="10">
        <f>N2/M2</f>
        <v>0.24786409050681812</v>
      </c>
      <c r="P2">
        <v>21</v>
      </c>
      <c r="Q2">
        <f>AVERAGE(P2:P4)</f>
        <v>26</v>
      </c>
      <c r="R2">
        <f>Q2/0.267317</f>
        <v>97.262800345657013</v>
      </c>
      <c r="S2">
        <f>R2*(0.8)</f>
        <v>77.810240276525619</v>
      </c>
      <c r="T2">
        <v>597.01</v>
      </c>
      <c r="U2" t="s">
        <v>19</v>
      </c>
      <c r="W2">
        <v>97.262800345657013</v>
      </c>
      <c r="X2">
        <v>58.607072003152304</v>
      </c>
      <c r="Y2">
        <v>144.64724153969505</v>
      </c>
      <c r="Z2">
        <v>117.21414400630461</v>
      </c>
      <c r="AA2">
        <v>81.052333621380853</v>
      </c>
      <c r="AB2">
        <v>49.878359151618987</v>
      </c>
    </row>
    <row r="3" spans="1:31" x14ac:dyDescent="0.2">
      <c r="B3" s="6" t="s">
        <v>20</v>
      </c>
      <c r="C3" s="7">
        <v>22</v>
      </c>
      <c r="F3" s="7">
        <v>5</v>
      </c>
      <c r="I3" s="3">
        <f t="shared" si="0"/>
        <v>0.81481481481481477</v>
      </c>
      <c r="P3">
        <v>27</v>
      </c>
      <c r="R3">
        <f t="shared" ref="R3:R66" si="1">Q3/0.267317</f>
        <v>0</v>
      </c>
      <c r="T3">
        <v>447.76</v>
      </c>
      <c r="U3" t="s">
        <v>21</v>
      </c>
      <c r="W3">
        <v>76.064497706218944</v>
      </c>
      <c r="X3">
        <v>76.064497706218944</v>
      </c>
      <c r="Y3">
        <v>147.14115949727602</v>
      </c>
      <c r="Z3">
        <v>117.21414400630461</v>
      </c>
      <c r="AA3">
        <v>99.756718303237975</v>
      </c>
      <c r="AB3">
        <v>83.546251578961801</v>
      </c>
    </row>
    <row r="4" spans="1:31" x14ac:dyDescent="0.2">
      <c r="B4" s="6" t="s">
        <v>22</v>
      </c>
      <c r="C4" s="7">
        <v>24</v>
      </c>
      <c r="F4" s="7">
        <v>6</v>
      </c>
      <c r="I4" s="3">
        <f t="shared" si="0"/>
        <v>0.8</v>
      </c>
      <c r="P4">
        <v>30</v>
      </c>
      <c r="R4">
        <f t="shared" si="1"/>
        <v>0</v>
      </c>
      <c r="W4">
        <v>91.028005451704644</v>
      </c>
      <c r="X4">
        <v>97.262800345657013</v>
      </c>
      <c r="Y4">
        <v>130.93069277299983</v>
      </c>
      <c r="Z4">
        <v>81.052333621380853</v>
      </c>
      <c r="AA4">
        <v>79.805374642590365</v>
      </c>
      <c r="AB4">
        <v>79.805374642590365</v>
      </c>
    </row>
    <row r="5" spans="1:31" x14ac:dyDescent="0.2">
      <c r="B5" s="6" t="s">
        <v>23</v>
      </c>
      <c r="C5" s="7">
        <v>16</v>
      </c>
      <c r="D5" s="8">
        <f>AVERAGE(C5:C7)/0.263717</f>
        <v>61.935079396979845</v>
      </c>
      <c r="F5" s="7">
        <v>5</v>
      </c>
      <c r="G5" s="8">
        <f>AVERAGE(F5:F7)/0.263717</f>
        <v>15.167774546199146</v>
      </c>
      <c r="H5" s="8"/>
      <c r="I5" s="3">
        <f t="shared" si="0"/>
        <v>0.76190476190476186</v>
      </c>
      <c r="J5" s="9">
        <f>AVERAGE(I5:I7)</f>
        <v>0.80451127819548862</v>
      </c>
      <c r="K5" s="9">
        <f>100%-J5</f>
        <v>0.19548872180451138</v>
      </c>
      <c r="L5" s="10">
        <f>K5/J5</f>
        <v>0.24299065420560764</v>
      </c>
      <c r="P5">
        <v>21</v>
      </c>
      <c r="Q5">
        <f>AVERAGE(P5:P7)</f>
        <v>20.333333333333332</v>
      </c>
      <c r="R5">
        <f t="shared" si="1"/>
        <v>76.064497706218944</v>
      </c>
      <c r="S5">
        <f>R5*(0.8)</f>
        <v>60.851598164975158</v>
      </c>
      <c r="T5">
        <f>T2*T3</f>
        <v>267317.19760000001</v>
      </c>
      <c r="U5" t="s">
        <v>24</v>
      </c>
      <c r="W5">
        <v>57.360113024361837</v>
      </c>
      <c r="X5">
        <v>98.509759324447487</v>
      </c>
      <c r="Y5">
        <v>150.88203643364744</v>
      </c>
      <c r="Z5">
        <v>62.347948939523732</v>
      </c>
      <c r="AA5">
        <v>67.335784854685627</v>
      </c>
      <c r="AB5">
        <v>74.81753872742847</v>
      </c>
    </row>
    <row r="6" spans="1:31" x14ac:dyDescent="0.2">
      <c r="B6" s="6" t="s">
        <v>25</v>
      </c>
      <c r="C6" s="7">
        <v>16</v>
      </c>
      <c r="F6" s="7">
        <v>3</v>
      </c>
      <c r="I6" s="3">
        <f t="shared" si="0"/>
        <v>0.84210526315789469</v>
      </c>
      <c r="P6">
        <v>19</v>
      </c>
      <c r="R6">
        <f t="shared" si="1"/>
        <v>0</v>
      </c>
      <c r="T6">
        <f>T5/1000000</f>
        <v>0.2673171976</v>
      </c>
      <c r="U6" t="s">
        <v>26</v>
      </c>
    </row>
    <row r="7" spans="1:31" x14ac:dyDescent="0.2">
      <c r="B7" s="6" t="s">
        <v>27</v>
      </c>
      <c r="C7" s="7">
        <v>17</v>
      </c>
      <c r="F7" s="7">
        <v>4</v>
      </c>
      <c r="I7" s="3">
        <f t="shared" si="0"/>
        <v>0.80952380952380953</v>
      </c>
      <c r="P7">
        <v>21</v>
      </c>
      <c r="R7">
        <f t="shared" si="1"/>
        <v>0</v>
      </c>
    </row>
    <row r="8" spans="1:31" x14ac:dyDescent="0.2">
      <c r="B8" s="6" t="s">
        <v>28</v>
      </c>
      <c r="C8" s="7">
        <v>22</v>
      </c>
      <c r="D8" s="8">
        <f>AVERAGE(C8:C10)/0.263717</f>
        <v>74.574891518812478</v>
      </c>
      <c r="F8" s="7">
        <v>5</v>
      </c>
      <c r="G8" s="8">
        <f>AVERAGE(F8:F10)/0.263717</f>
        <v>17.695736970565672</v>
      </c>
      <c r="H8" s="8"/>
      <c r="I8" s="3">
        <f t="shared" si="0"/>
        <v>0.81481481481481477</v>
      </c>
      <c r="J8" s="9">
        <f>AVERAGE(I8:I10)</f>
        <v>0.80822109988776658</v>
      </c>
      <c r="K8" s="9">
        <f>100%-J8</f>
        <v>0.19177890011223342</v>
      </c>
      <c r="L8" s="10">
        <f>K8/J8</f>
        <v>0.23728519354278768</v>
      </c>
      <c r="P8">
        <v>27</v>
      </c>
      <c r="Q8">
        <f>AVERAGE(P8:P10)</f>
        <v>24.333333333333332</v>
      </c>
      <c r="R8">
        <f t="shared" si="1"/>
        <v>91.028005451704644</v>
      </c>
      <c r="S8">
        <f>R8*(0.8)</f>
        <v>72.822404361363724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  <c r="AB8" t="s">
        <v>34</v>
      </c>
    </row>
    <row r="9" spans="1:31" x14ac:dyDescent="0.2">
      <c r="B9" s="6" t="s">
        <v>35</v>
      </c>
      <c r="C9" s="7">
        <v>19</v>
      </c>
      <c r="F9" s="7">
        <v>5</v>
      </c>
      <c r="I9" s="3">
        <f t="shared" si="0"/>
        <v>0.79166666666666663</v>
      </c>
      <c r="P9">
        <v>24</v>
      </c>
      <c r="R9">
        <f t="shared" si="1"/>
        <v>0</v>
      </c>
      <c r="W9" t="s">
        <v>11</v>
      </c>
      <c r="X9">
        <v>4</v>
      </c>
      <c r="Y9">
        <v>0</v>
      </c>
      <c r="Z9">
        <v>80.429000000000002</v>
      </c>
      <c r="AA9">
        <v>17.765999999999998</v>
      </c>
      <c r="AB9">
        <v>8.8829999999999991</v>
      </c>
      <c r="AD9">
        <f>Z9*(0.8)</f>
        <v>64.34320000000001</v>
      </c>
      <c r="AE9">
        <f>Z9-AD9</f>
        <v>16.085799999999992</v>
      </c>
    </row>
    <row r="10" spans="1:31" x14ac:dyDescent="0.2">
      <c r="B10" s="6" t="s">
        <v>36</v>
      </c>
      <c r="C10" s="7">
        <v>18</v>
      </c>
      <c r="F10" s="7">
        <v>4</v>
      </c>
      <c r="I10" s="3">
        <f t="shared" si="0"/>
        <v>0.81818181818181823</v>
      </c>
      <c r="P10">
        <v>22</v>
      </c>
      <c r="R10">
        <f t="shared" si="1"/>
        <v>0</v>
      </c>
      <c r="W10" t="s">
        <v>12</v>
      </c>
      <c r="X10">
        <v>4</v>
      </c>
      <c r="Y10">
        <v>0</v>
      </c>
      <c r="Z10">
        <v>82.611000000000004</v>
      </c>
      <c r="AA10">
        <v>19.030999999999999</v>
      </c>
      <c r="AB10">
        <v>9.5150000000000006</v>
      </c>
      <c r="AD10">
        <f>Z10*(0.8)</f>
        <v>66.088800000000006</v>
      </c>
      <c r="AE10">
        <f t="shared" ref="AE10:AE14" si="2">Z10-AD10</f>
        <v>16.522199999999998</v>
      </c>
    </row>
    <row r="11" spans="1:31" x14ac:dyDescent="0.2">
      <c r="B11" s="6" t="s">
        <v>37</v>
      </c>
      <c r="C11" s="7">
        <v>9</v>
      </c>
      <c r="D11" s="8">
        <f>AVERAGE(C11:C13)/0.263717</f>
        <v>46.767304850780704</v>
      </c>
      <c r="F11" s="7">
        <v>3</v>
      </c>
      <c r="G11" s="8">
        <f>AVERAGE(F11:F13)/0.263717</f>
        <v>11.375830909649359</v>
      </c>
      <c r="H11" s="8"/>
      <c r="I11" s="3">
        <f t="shared" si="0"/>
        <v>0.75</v>
      </c>
      <c r="J11" s="9">
        <f>AVERAGE(I11:I13)</f>
        <v>0.80050505050505061</v>
      </c>
      <c r="K11" s="9">
        <f>100%-J11</f>
        <v>0.19949494949494939</v>
      </c>
      <c r="L11" s="10">
        <f>K11/J11</f>
        <v>0.24921135646687681</v>
      </c>
      <c r="P11">
        <v>12</v>
      </c>
      <c r="Q11">
        <f>AVERAGE(P11:P13)</f>
        <v>15.333333333333334</v>
      </c>
      <c r="R11">
        <f t="shared" si="1"/>
        <v>57.360113024361837</v>
      </c>
      <c r="S11">
        <f>R11*(0.8)</f>
        <v>45.888090419489473</v>
      </c>
      <c r="W11" t="s">
        <v>13</v>
      </c>
      <c r="X11">
        <v>4</v>
      </c>
      <c r="Y11">
        <v>0</v>
      </c>
      <c r="Z11">
        <v>143.4</v>
      </c>
      <c r="AA11">
        <v>8.6989999999999998</v>
      </c>
      <c r="AB11">
        <v>4.3490000000000002</v>
      </c>
      <c r="AD11">
        <f>Z11*(0.21)</f>
        <v>30.114000000000001</v>
      </c>
      <c r="AE11">
        <f t="shared" si="2"/>
        <v>113.286</v>
      </c>
    </row>
    <row r="12" spans="1:31" x14ac:dyDescent="0.2">
      <c r="B12" s="6" t="s">
        <v>38</v>
      </c>
      <c r="C12" s="7">
        <v>18</v>
      </c>
      <c r="F12" s="7">
        <v>4</v>
      </c>
      <c r="I12" s="3">
        <f t="shared" si="0"/>
        <v>0.81818181818181823</v>
      </c>
      <c r="P12">
        <v>22</v>
      </c>
      <c r="R12">
        <f t="shared" si="1"/>
        <v>0</v>
      </c>
      <c r="W12" t="s">
        <v>14</v>
      </c>
      <c r="X12">
        <v>4</v>
      </c>
      <c r="Y12">
        <v>0</v>
      </c>
      <c r="Z12">
        <v>94.456999999999994</v>
      </c>
      <c r="AA12">
        <v>27.364999999999998</v>
      </c>
      <c r="AB12">
        <v>13.682</v>
      </c>
      <c r="AD12">
        <f>Z12*(0.33)</f>
        <v>31.170809999999999</v>
      </c>
      <c r="AE12">
        <f t="shared" si="2"/>
        <v>63.286189999999991</v>
      </c>
    </row>
    <row r="13" spans="1:31" x14ac:dyDescent="0.2">
      <c r="B13" s="6" t="s">
        <v>39</v>
      </c>
      <c r="C13" s="7">
        <v>10</v>
      </c>
      <c r="F13" s="7">
        <v>2</v>
      </c>
      <c r="I13" s="3">
        <f t="shared" si="0"/>
        <v>0.83333333333333337</v>
      </c>
      <c r="P13">
        <v>12</v>
      </c>
      <c r="R13">
        <f t="shared" si="1"/>
        <v>0</v>
      </c>
      <c r="W13" t="s">
        <v>15</v>
      </c>
      <c r="X13">
        <v>4</v>
      </c>
      <c r="Y13">
        <v>0</v>
      </c>
      <c r="Z13">
        <v>81.988</v>
      </c>
      <c r="AA13">
        <v>13.367000000000001</v>
      </c>
      <c r="AB13">
        <v>6.6840000000000002</v>
      </c>
      <c r="AD13">
        <f>Z13*(0.41)</f>
        <v>33.615079999999999</v>
      </c>
      <c r="AE13">
        <f t="shared" si="2"/>
        <v>48.372920000000001</v>
      </c>
    </row>
    <row r="14" spans="1:31" x14ac:dyDescent="0.2">
      <c r="A14" t="s">
        <v>40</v>
      </c>
      <c r="B14" s="6" t="s">
        <v>41</v>
      </c>
      <c r="C14" s="7">
        <v>11</v>
      </c>
      <c r="D14" s="8">
        <f>AVERAGE(C14:C16)/0.263717</f>
        <v>48.031286062963964</v>
      </c>
      <c r="E14" s="8">
        <f>AVERAGE(D14,D17,D20,D23,)</f>
        <v>53.592803396570318</v>
      </c>
      <c r="F14" s="7">
        <v>3</v>
      </c>
      <c r="G14" s="8">
        <f>AVERAGE(F14:F16)/0.263717</f>
        <v>11.375830909649359</v>
      </c>
      <c r="H14" s="8">
        <f>AVERAGE(G14,G17,G20,G23,)</f>
        <v>13.398200849142578</v>
      </c>
      <c r="I14" s="3">
        <f t="shared" si="0"/>
        <v>0.7857142857142857</v>
      </c>
      <c r="J14" s="9">
        <f>AVERAGE(I14:I16)</f>
        <v>0.80724789915966388</v>
      </c>
      <c r="K14" s="9">
        <f>100%-J14</f>
        <v>0.19275210084033612</v>
      </c>
      <c r="L14" s="10">
        <f>K14/J14</f>
        <v>0.23877683799609625</v>
      </c>
      <c r="M14" s="9">
        <f>AVERAGE(J14,J17,J20,J23)</f>
        <v>0.79818161429637413</v>
      </c>
      <c r="N14" s="9">
        <f>AVERAGE(K14,K17,K20,K23)</f>
        <v>0.20181838570362584</v>
      </c>
      <c r="O14" s="10">
        <f>N14/M14</f>
        <v>0.25284770043411237</v>
      </c>
      <c r="P14">
        <v>14</v>
      </c>
      <c r="Q14">
        <f>AVERAGE(P14:P16)</f>
        <v>15.666666666666666</v>
      </c>
      <c r="R14">
        <f t="shared" si="1"/>
        <v>58.607072003152304</v>
      </c>
      <c r="S14">
        <f>R14*(0.8)</f>
        <v>46.885657602521846</v>
      </c>
      <c r="W14" t="s">
        <v>16</v>
      </c>
      <c r="X14">
        <v>4</v>
      </c>
      <c r="Y14">
        <v>0</v>
      </c>
      <c r="Z14">
        <v>72.012</v>
      </c>
      <c r="AA14">
        <v>15.183</v>
      </c>
      <c r="AB14">
        <v>7.5910000000000002</v>
      </c>
      <c r="AD14">
        <f>Z14*(0.35)</f>
        <v>25.2042</v>
      </c>
      <c r="AE14">
        <f t="shared" si="2"/>
        <v>46.8078</v>
      </c>
    </row>
    <row r="15" spans="1:31" x14ac:dyDescent="0.2">
      <c r="B15" s="6" t="s">
        <v>42</v>
      </c>
      <c r="C15" s="7">
        <v>14</v>
      </c>
      <c r="F15" s="7">
        <v>3</v>
      </c>
      <c r="I15" s="3">
        <f t="shared" si="0"/>
        <v>0.82352941176470584</v>
      </c>
      <c r="P15">
        <v>17</v>
      </c>
      <c r="R15">
        <f t="shared" si="1"/>
        <v>0</v>
      </c>
    </row>
    <row r="16" spans="1:31" x14ac:dyDescent="0.2">
      <c r="B16" s="6" t="s">
        <v>43</v>
      </c>
      <c r="C16" s="7">
        <v>13</v>
      </c>
      <c r="F16" s="7">
        <v>3</v>
      </c>
      <c r="I16" s="3">
        <f t="shared" si="0"/>
        <v>0.8125</v>
      </c>
      <c r="P16">
        <v>16</v>
      </c>
      <c r="R16">
        <f t="shared" si="1"/>
        <v>0</v>
      </c>
    </row>
    <row r="17" spans="1:26" x14ac:dyDescent="0.2">
      <c r="B17" s="6" t="s">
        <v>44</v>
      </c>
      <c r="C17" s="7">
        <v>18</v>
      </c>
      <c r="D17" s="8">
        <f>AVERAGE(C17:C19)/0.263717</f>
        <v>60.671098184796584</v>
      </c>
      <c r="F17" s="7">
        <v>3</v>
      </c>
      <c r="G17" s="8">
        <f>AVERAGE(F17:F19)/0.263717</f>
        <v>16.431755758382408</v>
      </c>
      <c r="H17" s="8"/>
      <c r="I17" s="3">
        <f t="shared" si="0"/>
        <v>0.8571428571428571</v>
      </c>
      <c r="J17" s="9">
        <f>AVERAGE(I17:I19)</f>
        <v>0.78066378066378073</v>
      </c>
      <c r="K17" s="9">
        <f>100%-J17</f>
        <v>0.21933621933621927</v>
      </c>
      <c r="L17" s="10">
        <f>K17/J17</f>
        <v>0.28096118299445461</v>
      </c>
      <c r="P17">
        <v>21</v>
      </c>
      <c r="Q17">
        <f>AVERAGE(P17:P19)</f>
        <v>20.333333333333332</v>
      </c>
      <c r="R17">
        <f t="shared" si="1"/>
        <v>76.064497706218944</v>
      </c>
      <c r="S17">
        <f>R17*(0.8)</f>
        <v>60.851598164975158</v>
      </c>
      <c r="W17" t="s">
        <v>45</v>
      </c>
      <c r="X17">
        <f>(Z11-$Z$9)/$Z$9</f>
        <v>0.78293898966790587</v>
      </c>
    </row>
    <row r="18" spans="1:26" x14ac:dyDescent="0.2">
      <c r="B18" s="6" t="s">
        <v>46</v>
      </c>
      <c r="C18" s="7">
        <v>18</v>
      </c>
      <c r="F18" s="7">
        <v>4</v>
      </c>
      <c r="I18" s="3">
        <f t="shared" si="0"/>
        <v>0.81818181818181823</v>
      </c>
      <c r="P18">
        <v>22</v>
      </c>
      <c r="R18">
        <f t="shared" si="1"/>
        <v>0</v>
      </c>
      <c r="W18" t="s">
        <v>47</v>
      </c>
      <c r="X18">
        <f t="shared" ref="X18:X20" si="3">(Z12-$Z$9)/$Z$9</f>
        <v>0.17441470116500257</v>
      </c>
      <c r="Y18" s="12">
        <f>(($X$17-X18))*100</f>
        <v>60.85242885029033</v>
      </c>
      <c r="Z18" t="s">
        <v>48</v>
      </c>
    </row>
    <row r="19" spans="1:26" x14ac:dyDescent="0.2">
      <c r="B19" s="6" t="s">
        <v>49</v>
      </c>
      <c r="C19" s="7">
        <v>12</v>
      </c>
      <c r="F19" s="7">
        <v>6</v>
      </c>
      <c r="I19" s="3">
        <f t="shared" si="0"/>
        <v>0.66666666666666663</v>
      </c>
      <c r="P19">
        <v>18</v>
      </c>
      <c r="R19">
        <f t="shared" si="1"/>
        <v>0</v>
      </c>
      <c r="W19" t="s">
        <v>50</v>
      </c>
      <c r="X19">
        <f t="shared" si="3"/>
        <v>1.9383555682651748E-2</v>
      </c>
      <c r="Y19" s="12">
        <f t="shared" ref="Y19:Y20" si="4">(($X$17-X19)/$X$17)*100</f>
        <v>97.524257197757706</v>
      </c>
      <c r="Z19" t="s">
        <v>51</v>
      </c>
    </row>
    <row r="20" spans="1:26" x14ac:dyDescent="0.2">
      <c r="B20" s="6" t="s">
        <v>52</v>
      </c>
      <c r="C20" s="7">
        <v>24</v>
      </c>
      <c r="D20" s="8">
        <f>AVERAGE(C20:C22)/0.263717</f>
        <v>78.366835155362267</v>
      </c>
      <c r="F20" s="7">
        <v>7</v>
      </c>
      <c r="G20" s="8">
        <f>AVERAGE(F20:F22)/0.263717</f>
        <v>20.223699394932193</v>
      </c>
      <c r="H20" s="8"/>
      <c r="I20" s="3">
        <f t="shared" si="0"/>
        <v>0.77419354838709675</v>
      </c>
      <c r="J20" s="9">
        <f>AVERAGE(I20:I22)</f>
        <v>0.79745845552297168</v>
      </c>
      <c r="K20" s="9">
        <f>100%-J20</f>
        <v>0.20254154447702832</v>
      </c>
      <c r="L20" s="10">
        <f>K20/J20</f>
        <v>0.25398381956361848</v>
      </c>
      <c r="P20">
        <v>31</v>
      </c>
      <c r="Q20">
        <f>AVERAGE(P20:P22)</f>
        <v>26</v>
      </c>
      <c r="R20">
        <f t="shared" si="1"/>
        <v>97.262800345657013</v>
      </c>
      <c r="S20">
        <f>R20*(0.8)</f>
        <v>77.810240276525619</v>
      </c>
      <c r="W20" t="s">
        <v>53</v>
      </c>
      <c r="X20">
        <f t="shared" si="3"/>
        <v>-0.10465130736425918</v>
      </c>
      <c r="Y20" s="12">
        <f t="shared" si="4"/>
        <v>113.36647027997016</v>
      </c>
      <c r="Z20" t="s">
        <v>54</v>
      </c>
    </row>
    <row r="21" spans="1:26" x14ac:dyDescent="0.2">
      <c r="B21" s="6" t="s">
        <v>55</v>
      </c>
      <c r="C21" s="7">
        <v>18</v>
      </c>
      <c r="F21" s="7">
        <v>4</v>
      </c>
      <c r="I21" s="3">
        <f t="shared" si="0"/>
        <v>0.81818181818181823</v>
      </c>
      <c r="P21">
        <v>22</v>
      </c>
      <c r="R21">
        <f t="shared" si="1"/>
        <v>0</v>
      </c>
    </row>
    <row r="22" spans="1:26" x14ac:dyDescent="0.2">
      <c r="B22" s="6" t="s">
        <v>56</v>
      </c>
      <c r="C22" s="7">
        <v>20</v>
      </c>
      <c r="F22" s="7">
        <v>5</v>
      </c>
      <c r="I22" s="3">
        <f t="shared" si="0"/>
        <v>0.8</v>
      </c>
      <c r="P22">
        <v>25</v>
      </c>
      <c r="R22">
        <f t="shared" si="1"/>
        <v>0</v>
      </c>
    </row>
    <row r="23" spans="1:26" x14ac:dyDescent="0.2">
      <c r="B23" s="6" t="s">
        <v>57</v>
      </c>
      <c r="C23" s="7">
        <v>18</v>
      </c>
      <c r="D23" s="8">
        <f>AVERAGE(C23:C25)/0.263717</f>
        <v>80.894797579728774</v>
      </c>
      <c r="F23" s="7">
        <v>7</v>
      </c>
      <c r="G23" s="8">
        <f>AVERAGE(F23:F25)/0.263717</f>
        <v>18.959718182748933</v>
      </c>
      <c r="H23" s="8"/>
      <c r="I23" s="3">
        <f t="shared" si="0"/>
        <v>0.72</v>
      </c>
      <c r="J23" s="9">
        <f>AVERAGE(I23:I25)</f>
        <v>0.80735632183908035</v>
      </c>
      <c r="K23" s="9">
        <f>100%-J23</f>
        <v>0.19264367816091965</v>
      </c>
      <c r="L23" s="10">
        <f>K23/J23</f>
        <v>0.23861047835990906</v>
      </c>
      <c r="P23">
        <v>25</v>
      </c>
      <c r="Q23">
        <f>AVERAGE(P23:P25)</f>
        <v>26.333333333333332</v>
      </c>
      <c r="R23">
        <f t="shared" si="1"/>
        <v>98.509759324447487</v>
      </c>
      <c r="S23">
        <f>R23*(0.8)</f>
        <v>78.807807459557992</v>
      </c>
    </row>
    <row r="24" spans="1:26" x14ac:dyDescent="0.2">
      <c r="B24" s="6" t="s">
        <v>58</v>
      </c>
      <c r="C24" s="7">
        <v>25</v>
      </c>
      <c r="F24" s="7">
        <v>4</v>
      </c>
      <c r="I24" s="3">
        <f t="shared" si="0"/>
        <v>0.86206896551724133</v>
      </c>
      <c r="P24">
        <v>29</v>
      </c>
      <c r="R24">
        <f t="shared" si="1"/>
        <v>0</v>
      </c>
    </row>
    <row r="25" spans="1:26" x14ac:dyDescent="0.2">
      <c r="B25" s="6" t="s">
        <v>59</v>
      </c>
      <c r="C25" s="7">
        <v>21</v>
      </c>
      <c r="F25" s="7">
        <v>4</v>
      </c>
      <c r="I25" s="3">
        <f t="shared" si="0"/>
        <v>0.84</v>
      </c>
      <c r="P25">
        <v>25</v>
      </c>
      <c r="R25">
        <f t="shared" si="1"/>
        <v>0</v>
      </c>
    </row>
    <row r="26" spans="1:26" x14ac:dyDescent="0.2">
      <c r="A26" t="s">
        <v>60</v>
      </c>
      <c r="B26" s="6" t="s">
        <v>61</v>
      </c>
      <c r="C26" s="7">
        <v>5</v>
      </c>
      <c r="D26" s="8">
        <f>AVERAGE(C26:C28)/0.263717</f>
        <v>41.711380002047655</v>
      </c>
      <c r="E26" s="8">
        <f>AVERAGE(D26,D29,D32,D35,)</f>
        <v>24.521235516355286</v>
      </c>
      <c r="F26" s="7">
        <v>28</v>
      </c>
      <c r="G26" s="8">
        <f>AVERAGE(F26:F28)/0.263717</f>
        <v>106.17442182339403</v>
      </c>
      <c r="H26" s="8">
        <f>AVERAGE(G26,G29,G32,G35,)</f>
        <v>91.512239762068177</v>
      </c>
      <c r="I26" s="3">
        <f t="shared" si="0"/>
        <v>0.15151515151515152</v>
      </c>
      <c r="J26" s="9">
        <f>AVERAGE(I26:I28)</f>
        <v>0.27208833591812315</v>
      </c>
      <c r="K26" s="9">
        <f>100%-J26</f>
        <v>0.7279116640818768</v>
      </c>
      <c r="L26" s="10">
        <f>K26/J26</f>
        <v>2.6752769890912194</v>
      </c>
      <c r="M26" s="9">
        <f>AVERAGE(J26,J29,J32,J35)</f>
        <v>0.20768054609444889</v>
      </c>
      <c r="N26" s="9">
        <f>AVERAGE(K26,K29,K32,K35)</f>
        <v>0.79231945390555114</v>
      </c>
      <c r="O26" s="10">
        <f>N26/M26</f>
        <v>3.8150874928132188</v>
      </c>
      <c r="P26">
        <v>32</v>
      </c>
      <c r="Q26">
        <f>AVERAGE(P26:P28)</f>
        <v>38.666666666666664</v>
      </c>
      <c r="R26">
        <f t="shared" si="1"/>
        <v>144.64724153969505</v>
      </c>
      <c r="S26">
        <f>R26*(0.21)</f>
        <v>30.375920723335959</v>
      </c>
    </row>
    <row r="27" spans="1:26" x14ac:dyDescent="0.2">
      <c r="B27" s="6" t="s">
        <v>62</v>
      </c>
      <c r="C27" s="7">
        <v>12</v>
      </c>
      <c r="F27" s="7">
        <v>25</v>
      </c>
      <c r="I27" s="3">
        <f t="shared" si="0"/>
        <v>0.32432432432432434</v>
      </c>
      <c r="P27">
        <v>37</v>
      </c>
      <c r="Q27">
        <f>Q26*1.5</f>
        <v>58</v>
      </c>
      <c r="R27">
        <f t="shared" si="1"/>
        <v>216.97086230954258</v>
      </c>
    </row>
    <row r="28" spans="1:26" x14ac:dyDescent="0.2">
      <c r="B28" s="6" t="s">
        <v>63</v>
      </c>
      <c r="C28" s="7">
        <v>16</v>
      </c>
      <c r="F28" s="7">
        <v>31</v>
      </c>
      <c r="I28" s="3">
        <f t="shared" si="0"/>
        <v>0.34042553191489361</v>
      </c>
      <c r="P28">
        <v>47</v>
      </c>
      <c r="R28">
        <f t="shared" si="1"/>
        <v>0</v>
      </c>
    </row>
    <row r="29" spans="1:26" x14ac:dyDescent="0.2">
      <c r="B29" s="6" t="s">
        <v>64</v>
      </c>
      <c r="C29" s="7">
        <v>10</v>
      </c>
      <c r="D29" s="8">
        <f>AVERAGE(C29:C31)/0.263717</f>
        <v>31.599530304581556</v>
      </c>
      <c r="F29" s="7">
        <v>44</v>
      </c>
      <c r="G29" s="8">
        <f>AVERAGE(F29:F31)/0.263717</f>
        <v>130.19006485487603</v>
      </c>
      <c r="H29" s="8"/>
      <c r="I29" s="3">
        <f t="shared" si="0"/>
        <v>0.18518518518518517</v>
      </c>
      <c r="J29" s="9">
        <f>AVERAGE(I29:I31)</f>
        <v>0.19677113010446345</v>
      </c>
      <c r="K29" s="9">
        <f>100%-J29</f>
        <v>0.80322886989553655</v>
      </c>
      <c r="L29" s="10">
        <f>K29/J29</f>
        <v>4.0820463320463318</v>
      </c>
      <c r="P29">
        <v>44</v>
      </c>
      <c r="Q29">
        <f>AVERAGE(P29:P31)</f>
        <v>39.333333333333336</v>
      </c>
      <c r="R29">
        <f t="shared" si="1"/>
        <v>147.14115949727602</v>
      </c>
      <c r="S29">
        <f>R29*(0.21)</f>
        <v>30.899643494427963</v>
      </c>
    </row>
    <row r="30" spans="1:26" x14ac:dyDescent="0.2">
      <c r="B30" s="6" t="s">
        <v>65</v>
      </c>
      <c r="C30" s="7">
        <v>8</v>
      </c>
      <c r="F30" s="7">
        <v>31</v>
      </c>
      <c r="I30" s="3">
        <f t="shared" si="0"/>
        <v>0.20512820512820512</v>
      </c>
      <c r="P30">
        <v>39</v>
      </c>
      <c r="Q30">
        <f>Q29*1.5</f>
        <v>59</v>
      </c>
      <c r="R30">
        <f t="shared" si="1"/>
        <v>220.711739245914</v>
      </c>
    </row>
    <row r="31" spans="1:26" x14ac:dyDescent="0.2">
      <c r="B31" s="6" t="s">
        <v>66</v>
      </c>
      <c r="C31" s="7">
        <v>7</v>
      </c>
      <c r="F31" s="7">
        <v>28</v>
      </c>
      <c r="I31" s="3">
        <f t="shared" si="0"/>
        <v>0.2</v>
      </c>
      <c r="P31">
        <v>35</v>
      </c>
      <c r="R31">
        <f t="shared" si="1"/>
        <v>0</v>
      </c>
    </row>
    <row r="32" spans="1:26" x14ac:dyDescent="0.2">
      <c r="B32" s="6" t="s">
        <v>67</v>
      </c>
      <c r="C32" s="7">
        <v>5</v>
      </c>
      <c r="D32" s="8">
        <f>AVERAGE(C32:C34)/0.263717</f>
        <v>22.751661819298718</v>
      </c>
      <c r="F32" s="7">
        <v>27</v>
      </c>
      <c r="G32" s="8">
        <f>AVERAGE(F32:F34)/0.263717</f>
        <v>107.43840303557728</v>
      </c>
      <c r="H32" s="8"/>
      <c r="I32" s="3">
        <f t="shared" si="0"/>
        <v>0.15625</v>
      </c>
      <c r="J32" s="9">
        <f>AVERAGE(I32:I34)</f>
        <v>0.17254273504273501</v>
      </c>
      <c r="K32" s="9">
        <f>100%-J32</f>
        <v>0.82745726495726502</v>
      </c>
      <c r="L32" s="10">
        <f>K32/J32</f>
        <v>4.7956656346749238</v>
      </c>
      <c r="P32">
        <v>32</v>
      </c>
      <c r="Q32">
        <f>AVERAGE(P32:P34)</f>
        <v>35</v>
      </c>
      <c r="R32">
        <f t="shared" si="1"/>
        <v>130.93069277299983</v>
      </c>
      <c r="S32">
        <f>R32*(0.21)</f>
        <v>27.495445482329963</v>
      </c>
    </row>
    <row r="33" spans="1:19" x14ac:dyDescent="0.2">
      <c r="B33" s="6" t="s">
        <v>68</v>
      </c>
      <c r="C33" s="7">
        <v>5</v>
      </c>
      <c r="F33" s="7">
        <v>27</v>
      </c>
      <c r="I33" s="3">
        <f t="shared" si="0"/>
        <v>0.15625</v>
      </c>
      <c r="P33">
        <v>32</v>
      </c>
      <c r="Q33">
        <f>Q32*1.5</f>
        <v>52.5</v>
      </c>
      <c r="R33">
        <f t="shared" si="1"/>
        <v>196.39603915949974</v>
      </c>
    </row>
    <row r="34" spans="1:19" x14ac:dyDescent="0.2">
      <c r="B34" s="6" t="s">
        <v>69</v>
      </c>
      <c r="C34" s="7">
        <v>8</v>
      </c>
      <c r="F34" s="7">
        <v>31</v>
      </c>
      <c r="I34" s="3">
        <f t="shared" si="0"/>
        <v>0.20512820512820512</v>
      </c>
      <c r="P34">
        <v>41</v>
      </c>
      <c r="R34">
        <f t="shared" si="1"/>
        <v>0</v>
      </c>
    </row>
    <row r="35" spans="1:19" x14ac:dyDescent="0.2">
      <c r="B35" s="6" t="s">
        <v>70</v>
      </c>
      <c r="C35" s="7">
        <v>6</v>
      </c>
      <c r="D35" s="8">
        <f>AVERAGE(C35:C37)/0.263717</f>
        <v>26.543605455848507</v>
      </c>
      <c r="F35" s="7">
        <v>28</v>
      </c>
      <c r="G35" s="8">
        <f>AVERAGE(F35:F37)/0.263717</f>
        <v>113.7583090964936</v>
      </c>
      <c r="H35" s="8"/>
      <c r="I35" s="3">
        <f t="shared" si="0"/>
        <v>0.17647058823529413</v>
      </c>
      <c r="J35" s="9">
        <f>AVERAGE(I35:I37)</f>
        <v>0.18931998331247391</v>
      </c>
      <c r="K35" s="9">
        <f>100%-J35</f>
        <v>0.81068001668752609</v>
      </c>
      <c r="L35" s="10">
        <f>K35/J35</f>
        <v>4.2820625826355228</v>
      </c>
      <c r="P35">
        <v>34</v>
      </c>
      <c r="Q35">
        <f>AVERAGE(P35:P37)</f>
        <v>40.333333333333336</v>
      </c>
      <c r="R35">
        <f t="shared" si="1"/>
        <v>150.88203643364744</v>
      </c>
      <c r="S35">
        <f>R35*(0.21)</f>
        <v>31.685227651065961</v>
      </c>
    </row>
    <row r="36" spans="1:19" x14ac:dyDescent="0.2">
      <c r="B36" s="6" t="s">
        <v>71</v>
      </c>
      <c r="C36" s="7">
        <v>6</v>
      </c>
      <c r="F36" s="7">
        <v>24</v>
      </c>
      <c r="I36" s="3">
        <f t="shared" si="0"/>
        <v>0.2</v>
      </c>
      <c r="P36">
        <v>40</v>
      </c>
      <c r="Q36">
        <f>Q35*1.5</f>
        <v>60.5</v>
      </c>
      <c r="R36">
        <f t="shared" si="1"/>
        <v>226.32305465047114</v>
      </c>
    </row>
    <row r="37" spans="1:19" x14ac:dyDescent="0.2">
      <c r="B37" s="6" t="s">
        <v>72</v>
      </c>
      <c r="C37" s="7">
        <v>9</v>
      </c>
      <c r="F37" s="7">
        <v>38</v>
      </c>
      <c r="I37" s="3">
        <f t="shared" si="0"/>
        <v>0.19148936170212766</v>
      </c>
      <c r="P37">
        <v>47</v>
      </c>
      <c r="R37">
        <f t="shared" si="1"/>
        <v>0</v>
      </c>
    </row>
    <row r="38" spans="1:19" x14ac:dyDescent="0.2">
      <c r="A38" t="s">
        <v>73</v>
      </c>
      <c r="B38" s="6" t="s">
        <v>74</v>
      </c>
      <c r="C38" s="7">
        <v>12</v>
      </c>
      <c r="D38" s="8">
        <f>AVERAGE(C38:C40)/0.263717</f>
        <v>41.711380002047655</v>
      </c>
      <c r="E38" s="8">
        <f>AVERAGE(D38,D41,D44,D47,)</f>
        <v>25.279624243665246</v>
      </c>
      <c r="F38" s="7">
        <v>15</v>
      </c>
      <c r="G38" s="8">
        <f>AVERAGE(F38:F40)/0.263717</f>
        <v>77.102853943178985</v>
      </c>
      <c r="H38" s="8">
        <f>AVERAGE(G38,G41,G44,G47,)</f>
        <v>49.295267275147225</v>
      </c>
      <c r="I38" s="3">
        <f t="shared" si="0"/>
        <v>0.44444444444444442</v>
      </c>
      <c r="J38" s="9">
        <f>AVERAGE(I38:I40)</f>
        <v>0.34702244458342024</v>
      </c>
      <c r="K38" s="9">
        <f>100%-J38</f>
        <v>0.65297755541657976</v>
      </c>
      <c r="L38" s="10">
        <f>K38/J38</f>
        <v>1.8816579895875045</v>
      </c>
      <c r="M38" s="9">
        <f>AVERAGE(J38,J41,J44,J47)</f>
        <v>0.33125336881059941</v>
      </c>
      <c r="N38" s="9">
        <f>AVERAGE(K38,K41,K44,K47)</f>
        <v>0.66874663118940059</v>
      </c>
      <c r="O38" s="10">
        <f>N38/M38</f>
        <v>2.0188372229710652</v>
      </c>
      <c r="P38">
        <v>27</v>
      </c>
      <c r="Q38">
        <f>AVERAGE(P38:P40)</f>
        <v>31.333333333333332</v>
      </c>
      <c r="R38">
        <f t="shared" si="1"/>
        <v>117.21414400630461</v>
      </c>
      <c r="S38">
        <f>R38*(0.33)</f>
        <v>38.680667522080519</v>
      </c>
    </row>
    <row r="39" spans="1:19" x14ac:dyDescent="0.2">
      <c r="B39" s="6" t="s">
        <v>75</v>
      </c>
      <c r="C39" s="7">
        <v>6</v>
      </c>
      <c r="F39" s="7">
        <v>20</v>
      </c>
      <c r="I39" s="3">
        <f t="shared" si="0"/>
        <v>0.23076923076923078</v>
      </c>
      <c r="P39">
        <v>26</v>
      </c>
      <c r="Q39">
        <f>Q38*1.5</f>
        <v>47</v>
      </c>
      <c r="R39">
        <f t="shared" si="1"/>
        <v>175.82121600945692</v>
      </c>
    </row>
    <row r="40" spans="1:19" x14ac:dyDescent="0.2">
      <c r="B40" s="6" t="s">
        <v>76</v>
      </c>
      <c r="C40" s="7">
        <v>15</v>
      </c>
      <c r="F40" s="7">
        <v>26</v>
      </c>
      <c r="I40" s="3">
        <f t="shared" si="0"/>
        <v>0.36585365853658536</v>
      </c>
      <c r="P40">
        <v>41</v>
      </c>
      <c r="R40">
        <f t="shared" si="1"/>
        <v>0</v>
      </c>
    </row>
    <row r="41" spans="1:19" x14ac:dyDescent="0.2">
      <c r="B41" s="6" t="s">
        <v>77</v>
      </c>
      <c r="C41" s="7">
        <v>16</v>
      </c>
      <c r="D41" s="8">
        <f>AVERAGE(C41:C43)/0.263717</f>
        <v>41.711380002047655</v>
      </c>
      <c r="F41" s="7">
        <v>16</v>
      </c>
      <c r="G41" s="8">
        <f>AVERAGE(F41:F43)/0.263717</f>
        <v>74.574891518812478</v>
      </c>
      <c r="H41" s="8"/>
      <c r="I41" s="3">
        <f t="shared" si="0"/>
        <v>0.5</v>
      </c>
      <c r="J41" s="9">
        <f>AVERAGE(I41:I43)</f>
        <v>0.35687801260659996</v>
      </c>
      <c r="K41" s="9">
        <f>100%-J41</f>
        <v>0.64312198739339999</v>
      </c>
      <c r="L41" s="10">
        <f>K41/J41</f>
        <v>1.8020779220779217</v>
      </c>
      <c r="P41">
        <v>32</v>
      </c>
      <c r="Q41">
        <f>AVERAGE(P41:P43)</f>
        <v>31.333333333333332</v>
      </c>
      <c r="R41">
        <f t="shared" si="1"/>
        <v>117.21414400630461</v>
      </c>
      <c r="S41">
        <f>R41*(0.33)</f>
        <v>38.680667522080519</v>
      </c>
    </row>
    <row r="42" spans="1:19" x14ac:dyDescent="0.2">
      <c r="B42" s="6" t="s">
        <v>78</v>
      </c>
      <c r="C42" s="7">
        <v>7</v>
      </c>
      <c r="F42" s="7">
        <v>24</v>
      </c>
      <c r="I42" s="3">
        <f t="shared" si="0"/>
        <v>0.22580645161290322</v>
      </c>
      <c r="P42">
        <v>33</v>
      </c>
      <c r="Q42">
        <f>Q41*1.5</f>
        <v>47</v>
      </c>
      <c r="R42">
        <f t="shared" si="1"/>
        <v>175.82121600945692</v>
      </c>
    </row>
    <row r="43" spans="1:19" x14ac:dyDescent="0.2">
      <c r="B43" s="6" t="s">
        <v>79</v>
      </c>
      <c r="C43" s="7">
        <v>10</v>
      </c>
      <c r="F43" s="7">
        <v>19</v>
      </c>
      <c r="I43" s="3">
        <f t="shared" si="0"/>
        <v>0.34482758620689657</v>
      </c>
      <c r="P43">
        <v>29</v>
      </c>
      <c r="R43">
        <f t="shared" si="1"/>
        <v>0</v>
      </c>
    </row>
    <row r="44" spans="1:19" x14ac:dyDescent="0.2">
      <c r="B44" s="6" t="s">
        <v>80</v>
      </c>
      <c r="C44" s="7">
        <v>5</v>
      </c>
      <c r="D44" s="8">
        <f>AVERAGE(C44:C46)/0.263717</f>
        <v>24.015643031481982</v>
      </c>
      <c r="F44" s="7">
        <v>11</v>
      </c>
      <c r="G44" s="8">
        <f>AVERAGE(F44:F46)/0.263717</f>
        <v>50.559248487330493</v>
      </c>
      <c r="H44" s="8"/>
      <c r="I44" s="3">
        <f t="shared" si="0"/>
        <v>0.3125</v>
      </c>
      <c r="J44" s="9">
        <f>AVERAGE(I44:I46)</f>
        <v>0.32228260869565217</v>
      </c>
      <c r="K44" s="9">
        <f>100%-J44</f>
        <v>0.67771739130434783</v>
      </c>
      <c r="L44" s="10">
        <f>K44/J44</f>
        <v>2.1028667790893762</v>
      </c>
      <c r="P44">
        <v>16</v>
      </c>
      <c r="Q44">
        <f>AVERAGE(P44:P46)</f>
        <v>21.666666666666668</v>
      </c>
      <c r="R44">
        <f t="shared" si="1"/>
        <v>81.052333621380853</v>
      </c>
      <c r="S44">
        <f>R44*(0.33)</f>
        <v>26.747270095055683</v>
      </c>
    </row>
    <row r="45" spans="1:19" x14ac:dyDescent="0.2">
      <c r="B45" s="6" t="s">
        <v>81</v>
      </c>
      <c r="C45" s="7">
        <v>7</v>
      </c>
      <c r="F45" s="7">
        <v>16</v>
      </c>
      <c r="I45" s="3">
        <f t="shared" si="0"/>
        <v>0.30434782608695654</v>
      </c>
      <c r="P45">
        <v>23</v>
      </c>
      <c r="Q45">
        <f>Q44*1.5</f>
        <v>32.5</v>
      </c>
      <c r="R45">
        <f t="shared" si="1"/>
        <v>121.57850043207128</v>
      </c>
    </row>
    <row r="46" spans="1:19" x14ac:dyDescent="0.2">
      <c r="B46" s="6" t="s">
        <v>82</v>
      </c>
      <c r="C46" s="7">
        <v>7</v>
      </c>
      <c r="F46" s="7">
        <v>13</v>
      </c>
      <c r="I46" s="3">
        <f t="shared" si="0"/>
        <v>0.35</v>
      </c>
      <c r="P46">
        <v>26</v>
      </c>
      <c r="R46">
        <f t="shared" si="1"/>
        <v>0</v>
      </c>
    </row>
    <row r="47" spans="1:19" x14ac:dyDescent="0.2">
      <c r="B47" s="6" t="s">
        <v>83</v>
      </c>
      <c r="C47" s="7">
        <v>7</v>
      </c>
      <c r="D47" s="8">
        <f>AVERAGE(C47:C49)/0.263717</f>
        <v>18.959718182748933</v>
      </c>
      <c r="F47" s="7">
        <v>14</v>
      </c>
      <c r="G47" s="8">
        <f>AVERAGE(F47:F49)/0.263717</f>
        <v>44.239342426414176</v>
      </c>
      <c r="H47" s="8"/>
      <c r="I47" s="3">
        <f t="shared" si="0"/>
        <v>0.33333333333333331</v>
      </c>
      <c r="J47" s="9">
        <f>AVERAGE(I47:I49)</f>
        <v>0.29883040935672511</v>
      </c>
      <c r="K47" s="9">
        <f>100%-J47</f>
        <v>0.70116959064327489</v>
      </c>
      <c r="L47" s="10">
        <f>K47/J47</f>
        <v>2.3463796477495111</v>
      </c>
      <c r="P47">
        <v>21</v>
      </c>
      <c r="Q47">
        <f>AVERAGE(P47:P49)</f>
        <v>16.666666666666668</v>
      </c>
      <c r="R47">
        <f t="shared" si="1"/>
        <v>62.347948939523732</v>
      </c>
      <c r="S47">
        <f>R47*(0.33)</f>
        <v>20.574823150042832</v>
      </c>
    </row>
    <row r="48" spans="1:19" x14ac:dyDescent="0.2">
      <c r="B48" s="6" t="s">
        <v>84</v>
      </c>
      <c r="C48" s="7">
        <v>3</v>
      </c>
      <c r="F48" s="7">
        <v>7</v>
      </c>
      <c r="I48" s="3">
        <f t="shared" si="0"/>
        <v>0.3</v>
      </c>
      <c r="P48">
        <v>10</v>
      </c>
      <c r="Q48">
        <f>Q47*1.5</f>
        <v>25</v>
      </c>
      <c r="R48">
        <f t="shared" si="1"/>
        <v>93.521923409285591</v>
      </c>
    </row>
    <row r="49" spans="1:19" x14ac:dyDescent="0.2">
      <c r="B49" s="6" t="s">
        <v>85</v>
      </c>
      <c r="C49" s="7">
        <v>5</v>
      </c>
      <c r="F49" s="7">
        <v>14</v>
      </c>
      <c r="I49" s="3">
        <f t="shared" si="0"/>
        <v>0.26315789473684209</v>
      </c>
      <c r="P49">
        <v>19</v>
      </c>
      <c r="R49">
        <f t="shared" si="1"/>
        <v>0</v>
      </c>
    </row>
    <row r="50" spans="1:19" x14ac:dyDescent="0.2">
      <c r="A50" t="s">
        <v>86</v>
      </c>
      <c r="B50" s="6" t="s">
        <v>87</v>
      </c>
      <c r="C50" s="7">
        <v>8</v>
      </c>
      <c r="D50" s="8">
        <f>AVERAGE(C50:C52)/0.263717</f>
        <v>34.127492728948077</v>
      </c>
      <c r="E50" s="8">
        <f>AVERAGE(D50,D53,D56,D59,)</f>
        <v>27.049197940721807</v>
      </c>
      <c r="F50" s="7">
        <v>12</v>
      </c>
      <c r="G50" s="8">
        <f>AVERAGE(F50:F52)/0.263717</f>
        <v>48.031286062963964</v>
      </c>
      <c r="H50" s="8">
        <f>AVERAGE(G50,G53,G56,G59,)</f>
        <v>37.919436365497873</v>
      </c>
      <c r="I50" s="3">
        <f t="shared" si="0"/>
        <v>0.4</v>
      </c>
      <c r="J50" s="9">
        <f>AVERAGE(I50:I52)</f>
        <v>0.41309523809523813</v>
      </c>
      <c r="K50" s="9">
        <f>100%-J50</f>
        <v>0.58690476190476182</v>
      </c>
      <c r="L50" s="10">
        <f>K50/J50</f>
        <v>1.4207492795389045</v>
      </c>
      <c r="M50" s="9">
        <f>AVERAGE(J50,J53,J56,J59)</f>
        <v>0.41473234380561969</v>
      </c>
      <c r="N50" s="9">
        <f>AVERAGE(K50,K53,K56,K59)</f>
        <v>0.58526765619438037</v>
      </c>
      <c r="O50" s="10">
        <f>N50/M50</f>
        <v>1.4111936648680785</v>
      </c>
      <c r="P50">
        <v>20</v>
      </c>
      <c r="Q50">
        <f>AVERAGE(P50:P52)</f>
        <v>21.666666666666668</v>
      </c>
      <c r="R50">
        <f t="shared" si="1"/>
        <v>81.052333621380853</v>
      </c>
      <c r="S50">
        <f>R50*(0.41)</f>
        <v>33.231456784766145</v>
      </c>
    </row>
    <row r="51" spans="1:19" x14ac:dyDescent="0.2">
      <c r="B51" s="6" t="s">
        <v>88</v>
      </c>
      <c r="C51" s="7">
        <v>11</v>
      </c>
      <c r="F51" s="7">
        <v>13</v>
      </c>
      <c r="I51" s="3">
        <f t="shared" si="0"/>
        <v>0.45833333333333331</v>
      </c>
      <c r="P51">
        <v>24</v>
      </c>
      <c r="Q51">
        <f>Q50*1.5</f>
        <v>32.5</v>
      </c>
      <c r="R51">
        <f t="shared" si="1"/>
        <v>121.57850043207128</v>
      </c>
    </row>
    <row r="52" spans="1:19" x14ac:dyDescent="0.2">
      <c r="B52" s="6" t="s">
        <v>89</v>
      </c>
      <c r="C52" s="7">
        <v>8</v>
      </c>
      <c r="F52" s="7">
        <v>13</v>
      </c>
      <c r="I52" s="3">
        <f t="shared" si="0"/>
        <v>0.38095238095238093</v>
      </c>
      <c r="P52">
        <v>21</v>
      </c>
      <c r="R52">
        <f t="shared" si="1"/>
        <v>0</v>
      </c>
    </row>
    <row r="53" spans="1:19" x14ac:dyDescent="0.2">
      <c r="B53" s="6" t="s">
        <v>90</v>
      </c>
      <c r="C53" s="7">
        <v>12</v>
      </c>
      <c r="D53" s="8">
        <f>AVERAGE(C53:C55)/0.263717</f>
        <v>42.975361214230915</v>
      </c>
      <c r="F53" s="7">
        <v>13</v>
      </c>
      <c r="G53" s="8">
        <f>AVERAGE(F53:F55)/0.263717</f>
        <v>58.143135760430063</v>
      </c>
      <c r="H53" s="8"/>
      <c r="I53" s="3">
        <f t="shared" si="0"/>
        <v>0.48</v>
      </c>
      <c r="J53" s="9">
        <f>AVERAGE(I53:I55)</f>
        <v>0.42878868258178598</v>
      </c>
      <c r="K53" s="9">
        <f>100%-J53</f>
        <v>0.57121131741821407</v>
      </c>
      <c r="L53" s="10">
        <f>K53/J53</f>
        <v>1.3321511052457939</v>
      </c>
      <c r="P53">
        <v>25</v>
      </c>
      <c r="Q53">
        <f>AVERAGE(P53:P55)</f>
        <v>26.666666666666668</v>
      </c>
      <c r="R53">
        <f t="shared" si="1"/>
        <v>99.756718303237975</v>
      </c>
      <c r="S53">
        <f>R53*(0.41)</f>
        <v>40.90025450432757</v>
      </c>
    </row>
    <row r="54" spans="1:19" x14ac:dyDescent="0.2">
      <c r="B54" s="6" t="s">
        <v>91</v>
      </c>
      <c r="C54" s="7">
        <v>12</v>
      </c>
      <c r="F54" s="7">
        <v>14</v>
      </c>
      <c r="I54" s="3">
        <f t="shared" si="0"/>
        <v>0.46153846153846156</v>
      </c>
      <c r="P54">
        <v>26</v>
      </c>
      <c r="Q54">
        <f>Q53*1.5</f>
        <v>40</v>
      </c>
      <c r="R54">
        <f t="shared" si="1"/>
        <v>149.63507745485694</v>
      </c>
    </row>
    <row r="55" spans="1:19" x14ac:dyDescent="0.2">
      <c r="B55" s="6" t="s">
        <v>92</v>
      </c>
      <c r="C55" s="7">
        <v>10</v>
      </c>
      <c r="F55" s="7">
        <v>19</v>
      </c>
      <c r="I55" s="3">
        <f t="shared" si="0"/>
        <v>0.34482758620689657</v>
      </c>
      <c r="P55">
        <v>29</v>
      </c>
      <c r="R55">
        <f t="shared" si="1"/>
        <v>0</v>
      </c>
    </row>
    <row r="56" spans="1:19" x14ac:dyDescent="0.2">
      <c r="B56" s="6" t="s">
        <v>93</v>
      </c>
      <c r="C56" s="7">
        <v>6</v>
      </c>
      <c r="D56" s="8">
        <f>AVERAGE(C56:C58)/0.263717</f>
        <v>31.599530304581556</v>
      </c>
      <c r="F56" s="7">
        <v>10</v>
      </c>
      <c r="G56" s="8">
        <f>AVERAGE(F56:F58)/0.263717</f>
        <v>41.711380002047655</v>
      </c>
      <c r="H56" s="8"/>
      <c r="I56" s="3">
        <f t="shared" si="0"/>
        <v>0.375</v>
      </c>
      <c r="J56" s="9">
        <f>AVERAGE(I56:I58)</f>
        <v>0.42499999999999999</v>
      </c>
      <c r="K56" s="9">
        <f>100%-J56</f>
        <v>0.57499999999999996</v>
      </c>
      <c r="L56" s="10">
        <f>K56/J56</f>
        <v>1.3529411764705881</v>
      </c>
      <c r="P56">
        <v>22</v>
      </c>
      <c r="Q56">
        <f>AVERAGE(P56:P58)</f>
        <v>21.333333333333332</v>
      </c>
      <c r="R56">
        <f t="shared" si="1"/>
        <v>79.805374642590365</v>
      </c>
      <c r="S56">
        <f>R56*(0.41)</f>
        <v>32.720203603462046</v>
      </c>
    </row>
    <row r="57" spans="1:19" x14ac:dyDescent="0.2">
      <c r="B57" s="6" t="s">
        <v>94</v>
      </c>
      <c r="C57" s="7">
        <v>11</v>
      </c>
      <c r="F57" s="7">
        <v>11</v>
      </c>
      <c r="I57" s="3">
        <f t="shared" si="0"/>
        <v>0.5</v>
      </c>
      <c r="P57">
        <v>22</v>
      </c>
      <c r="Q57">
        <f>Q56*1.5</f>
        <v>32</v>
      </c>
      <c r="R57">
        <f t="shared" si="1"/>
        <v>119.70806196388556</v>
      </c>
    </row>
    <row r="58" spans="1:19" x14ac:dyDescent="0.2">
      <c r="B58" s="6" t="s">
        <v>95</v>
      </c>
      <c r="C58" s="7">
        <v>8</v>
      </c>
      <c r="F58" s="7">
        <v>12</v>
      </c>
      <c r="I58" s="3">
        <f t="shared" si="0"/>
        <v>0.4</v>
      </c>
      <c r="P58">
        <v>20</v>
      </c>
      <c r="R58">
        <f t="shared" si="1"/>
        <v>0</v>
      </c>
    </row>
    <row r="59" spans="1:19" x14ac:dyDescent="0.2">
      <c r="B59" s="6" t="s">
        <v>96</v>
      </c>
      <c r="C59" s="7">
        <v>5</v>
      </c>
      <c r="D59" s="8">
        <f>AVERAGE(C59:C61)/0.263717</f>
        <v>26.543605455848507</v>
      </c>
      <c r="F59" s="7">
        <v>11</v>
      </c>
      <c r="G59" s="8">
        <f>AVERAGE(F59:F61)/0.263717</f>
        <v>41.711380002047655</v>
      </c>
      <c r="H59" s="8"/>
      <c r="I59" s="3">
        <f t="shared" si="0"/>
        <v>0.3125</v>
      </c>
      <c r="J59" s="9">
        <f>AVERAGE(I59:I61)</f>
        <v>0.39204545454545459</v>
      </c>
      <c r="K59" s="9">
        <f>100%-J59</f>
        <v>0.60795454545454541</v>
      </c>
      <c r="L59" s="10">
        <f>K59/J59</f>
        <v>1.5507246376811592</v>
      </c>
      <c r="P59">
        <v>16</v>
      </c>
      <c r="Q59">
        <f>AVERAGE(P59:P61)</f>
        <v>18</v>
      </c>
      <c r="R59">
        <f t="shared" si="1"/>
        <v>67.335784854685627</v>
      </c>
      <c r="S59">
        <f>R59*(0.41)</f>
        <v>27.607671790421104</v>
      </c>
    </row>
    <row r="60" spans="1:19" x14ac:dyDescent="0.2">
      <c r="B60" s="6" t="s">
        <v>97</v>
      </c>
      <c r="C60" s="7">
        <v>8</v>
      </c>
      <c r="F60" s="7">
        <v>14</v>
      </c>
      <c r="I60" s="3">
        <f t="shared" si="0"/>
        <v>0.36363636363636365</v>
      </c>
      <c r="P60">
        <v>22</v>
      </c>
      <c r="Q60">
        <f>Q59*1.5</f>
        <v>27</v>
      </c>
      <c r="R60">
        <f t="shared" si="1"/>
        <v>101.00367728202845</v>
      </c>
    </row>
    <row r="61" spans="1:19" x14ac:dyDescent="0.2">
      <c r="B61" s="6" t="s">
        <v>98</v>
      </c>
      <c r="C61" s="7">
        <v>8</v>
      </c>
      <c r="F61" s="7">
        <v>8</v>
      </c>
      <c r="I61" s="3">
        <f t="shared" si="0"/>
        <v>0.5</v>
      </c>
      <c r="P61">
        <v>16</v>
      </c>
      <c r="R61">
        <f t="shared" si="1"/>
        <v>0</v>
      </c>
    </row>
    <row r="62" spans="1:19" x14ac:dyDescent="0.2">
      <c r="A62" t="s">
        <v>99</v>
      </c>
      <c r="B62" s="6" t="s">
        <v>100</v>
      </c>
      <c r="C62" s="7">
        <v>8</v>
      </c>
      <c r="D62" s="8">
        <f>AVERAGE(C62:C64)/0.263717</f>
        <v>27.807586668031767</v>
      </c>
      <c r="E62" s="8">
        <f>AVERAGE(D62,D65,D68,D71,)</f>
        <v>22.246069334425414</v>
      </c>
      <c r="F62" s="7">
        <v>2</v>
      </c>
      <c r="G62" s="8">
        <f>AVERAGE(F62:F64)/0.263717</f>
        <v>21.487680607115458</v>
      </c>
      <c r="H62" s="8">
        <f>AVERAGE(G62,G65,G68,G71,)</f>
        <v>34.380288971384729</v>
      </c>
      <c r="I62" s="3">
        <f t="shared" si="0"/>
        <v>0.8</v>
      </c>
      <c r="J62" s="9">
        <f>AVERAGE(I62:I64)</f>
        <v>0.59047619047619049</v>
      </c>
      <c r="K62" s="9">
        <f>100%-J62</f>
        <v>0.40952380952380951</v>
      </c>
      <c r="L62" s="10">
        <f>K62/J62</f>
        <v>0.69354838709677413</v>
      </c>
      <c r="M62" s="9">
        <f>AVERAGE(J65,J68,J71)</f>
        <v>0.3531499780412824</v>
      </c>
      <c r="N62" s="9">
        <f>AVERAGE(K65,K68,K71)</f>
        <v>0.64685002195871755</v>
      </c>
      <c r="O62" s="10">
        <f>N62/M62</f>
        <v>1.8316581117926682</v>
      </c>
      <c r="P62">
        <v>11</v>
      </c>
      <c r="Q62">
        <f>AVERAGE(P62:P64)</f>
        <v>13.333333333333334</v>
      </c>
      <c r="R62">
        <f t="shared" si="1"/>
        <v>49.878359151618987</v>
      </c>
      <c r="S62">
        <f>R62*(0.35)</f>
        <v>17.457425703066644</v>
      </c>
    </row>
    <row r="63" spans="1:19" x14ac:dyDescent="0.2">
      <c r="B63" s="6" t="s">
        <v>101</v>
      </c>
      <c r="C63" s="7">
        <v>6</v>
      </c>
      <c r="F63" s="7">
        <v>9</v>
      </c>
      <c r="I63" s="3">
        <f t="shared" si="0"/>
        <v>0.4</v>
      </c>
      <c r="P63">
        <v>15</v>
      </c>
      <c r="R63">
        <f t="shared" si="1"/>
        <v>0</v>
      </c>
    </row>
    <row r="64" spans="1:19" x14ac:dyDescent="0.2">
      <c r="B64" s="6" t="s">
        <v>102</v>
      </c>
      <c r="C64" s="7">
        <v>8</v>
      </c>
      <c r="F64" s="7">
        <v>6</v>
      </c>
      <c r="I64" s="3">
        <f t="shared" si="0"/>
        <v>0.5714285714285714</v>
      </c>
      <c r="P64">
        <v>14</v>
      </c>
      <c r="R64">
        <f t="shared" si="1"/>
        <v>0</v>
      </c>
    </row>
    <row r="65" spans="2:19" x14ac:dyDescent="0.2">
      <c r="B65" s="6" t="s">
        <v>103</v>
      </c>
      <c r="C65" s="7">
        <v>8</v>
      </c>
      <c r="D65" s="8">
        <f>AVERAGE(C65:C67)/0.263717</f>
        <v>30.335549092398292</v>
      </c>
      <c r="F65" s="7">
        <v>16</v>
      </c>
      <c r="G65" s="8">
        <f>AVERAGE(F65:F67)/0.263717</f>
        <v>54.351192123880274</v>
      </c>
      <c r="H65" s="8"/>
      <c r="I65" s="3">
        <f t="shared" si="0"/>
        <v>0.33333333333333331</v>
      </c>
      <c r="J65" s="9">
        <f>AVERAGE(I65:I67)</f>
        <v>0.35821256038647342</v>
      </c>
      <c r="K65" s="9">
        <f>100%-J65</f>
        <v>0.64178743961352658</v>
      </c>
      <c r="L65" s="10">
        <f>K65/J65</f>
        <v>1.7916385704652731</v>
      </c>
      <c r="P65">
        <v>24</v>
      </c>
      <c r="Q65">
        <f>AVERAGE(P65:P67)</f>
        <v>22.333333333333332</v>
      </c>
      <c r="R65">
        <f t="shared" si="1"/>
        <v>83.546251578961801</v>
      </c>
      <c r="S65">
        <f>R65*(0.35)</f>
        <v>29.241188052636627</v>
      </c>
    </row>
    <row r="66" spans="2:19" x14ac:dyDescent="0.2">
      <c r="B66" s="6" t="s">
        <v>104</v>
      </c>
      <c r="C66" s="7">
        <v>7</v>
      </c>
      <c r="F66" s="7">
        <v>13</v>
      </c>
      <c r="I66" s="3">
        <f t="shared" ref="I66:I73" si="5">C66/(C66+F66)</f>
        <v>0.35</v>
      </c>
      <c r="P66">
        <v>20</v>
      </c>
      <c r="R66">
        <f t="shared" si="1"/>
        <v>0</v>
      </c>
    </row>
    <row r="67" spans="2:19" x14ac:dyDescent="0.2">
      <c r="B67" s="6" t="s">
        <v>105</v>
      </c>
      <c r="C67" s="7">
        <v>9</v>
      </c>
      <c r="F67" s="7">
        <v>14</v>
      </c>
      <c r="I67" s="3">
        <f t="shared" si="5"/>
        <v>0.39130434782608697</v>
      </c>
      <c r="P67">
        <v>23</v>
      </c>
      <c r="R67">
        <f t="shared" ref="R67:R73" si="6">Q67/0.267317</f>
        <v>0</v>
      </c>
    </row>
    <row r="68" spans="2:19" x14ac:dyDescent="0.2">
      <c r="B68" s="6" t="s">
        <v>106</v>
      </c>
      <c r="C68" s="7">
        <v>8</v>
      </c>
      <c r="D68" s="8">
        <f>AVERAGE(C68:C70)/0.263717</f>
        <v>27.807586668031767</v>
      </c>
      <c r="F68" s="7">
        <v>17</v>
      </c>
      <c r="G68" s="8">
        <f>AVERAGE(F68:F70)/0.263717</f>
        <v>50.559248487330493</v>
      </c>
      <c r="H68" s="8"/>
      <c r="I68" s="3">
        <f t="shared" si="5"/>
        <v>0.32</v>
      </c>
      <c r="J68" s="9">
        <f>AVERAGE(I68:I70)</f>
        <v>0.34707070707070709</v>
      </c>
      <c r="K68" s="9">
        <f>100%-J68</f>
        <v>0.65292929292929291</v>
      </c>
      <c r="L68" s="10">
        <f>K68/J68</f>
        <v>1.8812572759022117</v>
      </c>
      <c r="P68">
        <v>25</v>
      </c>
      <c r="Q68">
        <f>AVERAGE(P68:P70)</f>
        <v>21.333333333333332</v>
      </c>
      <c r="R68">
        <f t="shared" si="6"/>
        <v>79.805374642590365</v>
      </c>
      <c r="S68">
        <f>R68*(0.35)</f>
        <v>27.931881124906628</v>
      </c>
    </row>
    <row r="69" spans="2:19" x14ac:dyDescent="0.2">
      <c r="B69" s="6" t="s">
        <v>107</v>
      </c>
      <c r="C69" s="7">
        <v>10</v>
      </c>
      <c r="F69" s="7">
        <v>12</v>
      </c>
      <c r="I69" s="3">
        <f t="shared" si="5"/>
        <v>0.45454545454545453</v>
      </c>
      <c r="P69">
        <v>24</v>
      </c>
      <c r="R69">
        <f t="shared" si="6"/>
        <v>0</v>
      </c>
    </row>
    <row r="70" spans="2:19" x14ac:dyDescent="0.2">
      <c r="B70" s="6" t="s">
        <v>108</v>
      </c>
      <c r="C70" s="7">
        <v>4</v>
      </c>
      <c r="F70" s="7">
        <v>11</v>
      </c>
      <c r="I70" s="3">
        <f t="shared" si="5"/>
        <v>0.26666666666666666</v>
      </c>
      <c r="P70">
        <v>15</v>
      </c>
      <c r="R70">
        <f t="shared" si="6"/>
        <v>0</v>
      </c>
    </row>
    <row r="71" spans="2:19" x14ac:dyDescent="0.2">
      <c r="B71" s="6" t="s">
        <v>109</v>
      </c>
      <c r="C71" s="7">
        <v>9</v>
      </c>
      <c r="D71" s="8">
        <f>AVERAGE(C71:C73)/0.263717</f>
        <v>25.279624243665246</v>
      </c>
      <c r="F71" s="7">
        <v>15</v>
      </c>
      <c r="G71" s="8">
        <f>AVERAGE(F71:F73)/0.263717</f>
        <v>45.503323638597436</v>
      </c>
      <c r="I71" s="3">
        <f t="shared" si="5"/>
        <v>0.375</v>
      </c>
      <c r="J71" s="9">
        <f>AVERAGE(I71:I73)</f>
        <v>0.35416666666666669</v>
      </c>
      <c r="K71" s="9">
        <f>100%-J71</f>
        <v>0.64583333333333326</v>
      </c>
      <c r="L71" s="10">
        <f>K71/J71</f>
        <v>1.8235294117647056</v>
      </c>
      <c r="P71">
        <v>24</v>
      </c>
      <c r="Q71">
        <f>AVERAGE(P71:P73)</f>
        <v>20</v>
      </c>
      <c r="R71">
        <f t="shared" si="6"/>
        <v>74.81753872742847</v>
      </c>
      <c r="S71">
        <f>R71*(0.35)</f>
        <v>26.186138554599964</v>
      </c>
    </row>
    <row r="72" spans="2:19" x14ac:dyDescent="0.2">
      <c r="B72" s="6" t="s">
        <v>110</v>
      </c>
      <c r="C72" s="7">
        <v>6</v>
      </c>
      <c r="F72" s="7">
        <v>10</v>
      </c>
      <c r="I72" s="3">
        <f t="shared" si="5"/>
        <v>0.375</v>
      </c>
      <c r="P72">
        <v>16</v>
      </c>
      <c r="R72">
        <f t="shared" si="6"/>
        <v>0</v>
      </c>
    </row>
    <row r="73" spans="2:19" x14ac:dyDescent="0.2">
      <c r="B73" s="6" t="s">
        <v>111</v>
      </c>
      <c r="C73" s="7">
        <v>5</v>
      </c>
      <c r="F73" s="7">
        <v>11</v>
      </c>
      <c r="I73" s="3">
        <f t="shared" si="5"/>
        <v>0.3125</v>
      </c>
      <c r="P73">
        <v>20</v>
      </c>
      <c r="R73">
        <f t="shared" si="6"/>
        <v>0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workbookViewId="0">
      <selection activeCell="A18" sqref="A18"/>
    </sheetView>
  </sheetViews>
  <sheetFormatPr baseColWidth="10" defaultColWidth="9" defaultRowHeight="16" x14ac:dyDescent="0.2"/>
  <cols>
    <col min="1" max="1" width="23" style="13" bestFit="1" customWidth="1"/>
    <col min="2" max="2" width="13" style="13" bestFit="1" customWidth="1"/>
    <col min="3" max="3" width="12.1640625" style="13" bestFit="1" customWidth="1"/>
    <col min="4" max="4" width="26.33203125" style="13" bestFit="1" customWidth="1"/>
    <col min="5" max="6" width="12.1640625" style="13" bestFit="1" customWidth="1"/>
    <col min="7" max="16384" width="9" style="13"/>
  </cols>
  <sheetData>
    <row r="1" spans="1:6" ht="21" x14ac:dyDescent="0.2">
      <c r="A1" s="15" t="s">
        <v>125</v>
      </c>
    </row>
    <row r="2" spans="1:6" x14ac:dyDescent="0.2">
      <c r="A2" s="13" t="s">
        <v>124</v>
      </c>
      <c r="B2" s="13" t="s">
        <v>123</v>
      </c>
      <c r="C2" s="13" t="s">
        <v>122</v>
      </c>
      <c r="D2" s="13" t="s">
        <v>121</v>
      </c>
      <c r="E2" s="13" t="s">
        <v>120</v>
      </c>
      <c r="F2" s="13" t="s">
        <v>119</v>
      </c>
    </row>
    <row r="3" spans="1:6" x14ac:dyDescent="0.2">
      <c r="A3" s="13">
        <v>97.262800345657013</v>
      </c>
      <c r="B3" s="13">
        <v>58.607072003152304</v>
      </c>
      <c r="C3" s="13">
        <v>144.64724153969505</v>
      </c>
      <c r="D3" s="13">
        <v>117.21414400630461</v>
      </c>
      <c r="E3" s="13">
        <v>81.052333621380853</v>
      </c>
      <c r="F3" s="13">
        <v>49.878359151618987</v>
      </c>
    </row>
    <row r="4" spans="1:6" x14ac:dyDescent="0.2">
      <c r="A4" s="13">
        <v>76.064497706218944</v>
      </c>
      <c r="B4" s="13">
        <v>76.064497706218944</v>
      </c>
      <c r="C4" s="13">
        <v>147.14115949727602</v>
      </c>
      <c r="D4" s="13">
        <v>117.21414400630461</v>
      </c>
      <c r="E4" s="13">
        <v>99.756718303237975</v>
      </c>
      <c r="F4" s="13">
        <v>83.546251578961801</v>
      </c>
    </row>
    <row r="5" spans="1:6" x14ac:dyDescent="0.2">
      <c r="A5" s="13">
        <v>91.028005451704644</v>
      </c>
      <c r="B5" s="13">
        <v>97.262800345657013</v>
      </c>
      <c r="C5" s="13">
        <v>130.93069277299983</v>
      </c>
      <c r="D5" s="13">
        <v>81.052333621380853</v>
      </c>
      <c r="E5" s="13">
        <v>79.805374642590365</v>
      </c>
      <c r="F5" s="13">
        <v>79.805374642590365</v>
      </c>
    </row>
    <row r="6" spans="1:6" x14ac:dyDescent="0.2">
      <c r="A6" s="13">
        <v>57.360113024361837</v>
      </c>
      <c r="B6" s="13">
        <v>98.509759324447487</v>
      </c>
      <c r="C6" s="13">
        <v>150.88203643364744</v>
      </c>
      <c r="D6" s="13">
        <v>62.347948939523732</v>
      </c>
      <c r="E6" s="13">
        <v>67.335784854685627</v>
      </c>
      <c r="F6" s="13">
        <v>74.81753872742847</v>
      </c>
    </row>
    <row r="9" spans="1:6" x14ac:dyDescent="0.2">
      <c r="A9" s="13" t="s">
        <v>29</v>
      </c>
      <c r="B9" s="13" t="s">
        <v>30</v>
      </c>
      <c r="C9" s="13" t="s">
        <v>31</v>
      </c>
      <c r="D9" s="13" t="s">
        <v>32</v>
      </c>
      <c r="E9" s="13" t="s">
        <v>33</v>
      </c>
      <c r="F9" s="13" t="s">
        <v>34</v>
      </c>
    </row>
    <row r="10" spans="1:6" x14ac:dyDescent="0.2">
      <c r="A10" s="13" t="s">
        <v>124</v>
      </c>
      <c r="B10" s="13">
        <v>4</v>
      </c>
      <c r="C10" s="13">
        <v>0</v>
      </c>
      <c r="D10" s="13">
        <v>80.429000000000002</v>
      </c>
      <c r="E10" s="13">
        <v>17.765999999999998</v>
      </c>
      <c r="F10" s="13">
        <v>8.8829999999999991</v>
      </c>
    </row>
    <row r="11" spans="1:6" x14ac:dyDescent="0.2">
      <c r="A11" s="13" t="s">
        <v>123</v>
      </c>
      <c r="B11" s="13">
        <v>4</v>
      </c>
      <c r="C11" s="13">
        <v>0</v>
      </c>
      <c r="D11" s="13">
        <v>82.611000000000004</v>
      </c>
      <c r="E11" s="13">
        <v>19.030999999999999</v>
      </c>
      <c r="F11" s="13">
        <v>9.5150000000000006</v>
      </c>
    </row>
    <row r="12" spans="1:6" x14ac:dyDescent="0.2">
      <c r="A12" s="13" t="s">
        <v>122</v>
      </c>
      <c r="B12" s="13">
        <v>4</v>
      </c>
      <c r="C12" s="13">
        <v>0</v>
      </c>
      <c r="D12" s="13">
        <v>143.4</v>
      </c>
      <c r="E12" s="13">
        <v>8.6989999999999998</v>
      </c>
      <c r="F12" s="13">
        <v>4.3490000000000002</v>
      </c>
    </row>
    <row r="13" spans="1:6" x14ac:dyDescent="0.2">
      <c r="A13" s="13" t="s">
        <v>121</v>
      </c>
      <c r="B13" s="13">
        <v>4</v>
      </c>
      <c r="C13" s="13">
        <v>0</v>
      </c>
      <c r="D13" s="13">
        <v>94.456999999999994</v>
      </c>
      <c r="E13" s="13">
        <v>27.364999999999998</v>
      </c>
      <c r="F13" s="13">
        <v>13.682</v>
      </c>
    </row>
    <row r="14" spans="1:6" x14ac:dyDescent="0.2">
      <c r="A14" s="13" t="s">
        <v>120</v>
      </c>
      <c r="B14" s="13">
        <v>4</v>
      </c>
      <c r="C14" s="13">
        <v>0</v>
      </c>
      <c r="D14" s="13">
        <v>81.988</v>
      </c>
      <c r="E14" s="13">
        <v>13.367000000000001</v>
      </c>
      <c r="F14" s="13">
        <v>6.6840000000000002</v>
      </c>
    </row>
    <row r="15" spans="1:6" x14ac:dyDescent="0.2">
      <c r="A15" s="13" t="s">
        <v>119</v>
      </c>
      <c r="B15" s="13">
        <v>4</v>
      </c>
      <c r="C15" s="13">
        <v>0</v>
      </c>
      <c r="D15" s="13">
        <v>72.012</v>
      </c>
      <c r="E15" s="13">
        <v>15.183</v>
      </c>
      <c r="F15" s="13">
        <v>7.5910000000000002</v>
      </c>
    </row>
    <row r="18" spans="1:4" x14ac:dyDescent="0.2">
      <c r="A18" s="13" t="s">
        <v>118</v>
      </c>
      <c r="B18" s="13">
        <f>(D12-$D$10)/$D$10</f>
        <v>0.78293898966790587</v>
      </c>
    </row>
    <row r="19" spans="1:4" x14ac:dyDescent="0.2">
      <c r="A19" s="13" t="s">
        <v>117</v>
      </c>
      <c r="B19" s="13">
        <f>(D13-$D$10)/$D$10</f>
        <v>0.17441470116500257</v>
      </c>
      <c r="C19" s="14">
        <f>(($B$18-B19))/$B$18*100</f>
        <v>77.723078877578573</v>
      </c>
      <c r="D19" s="13" t="s">
        <v>116</v>
      </c>
    </row>
    <row r="20" spans="1:4" x14ac:dyDescent="0.2">
      <c r="A20" s="13" t="s">
        <v>115</v>
      </c>
      <c r="B20" s="13">
        <f>(D14-$D$10)/$D$10</f>
        <v>1.9383555682651748E-2</v>
      </c>
      <c r="C20" s="14">
        <f>(($B$18-B20))/$B$18*100</f>
        <v>97.524257197757706</v>
      </c>
      <c r="D20" s="13" t="s">
        <v>114</v>
      </c>
    </row>
    <row r="21" spans="1:4" x14ac:dyDescent="0.2">
      <c r="A21" s="13" t="s">
        <v>113</v>
      </c>
      <c r="B21" s="13">
        <f>(D15-$D$10)/$D$10</f>
        <v>-0.10465130736425918</v>
      </c>
      <c r="C21" s="14">
        <f>(($B$18-B21))/$B$18*100</f>
        <v>113.36647027997016</v>
      </c>
      <c r="D21" s="13" t="s">
        <v>112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Iba-1</vt:lpstr>
      <vt:lpstr>Figure 9 (iX)-Iba-1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2020-05-05T14:42:53Z</dcterms:created>
  <dcterms:modified xsi:type="dcterms:W3CDTF">2020-06-18T15:26:07Z</dcterms:modified>
</cp:coreProperties>
</file>