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rigge/Dropbox/tir1afb manu/Final Figures/"/>
    </mc:Choice>
  </mc:AlternateContent>
  <xr:revisionPtr revIDLastSave="0" documentId="8_{FC9E45CC-2FCE-B445-9B7D-19B8969341C1}" xr6:coauthVersionLast="36" xr6:coauthVersionMax="36" xr10:uidLastSave="{00000000-0000-0000-0000-000000000000}"/>
  <bookViews>
    <workbookView xWindow="1120" yWindow="500" windowWidth="30140" windowHeight="25000" tabRatio="500" xr2:uid="{00000000-000D-0000-FFFF-FFFF00000000}"/>
  </bookViews>
  <sheets>
    <sheet name="Just TIR1 AFB5 AFB2" sheetId="5" r:id="rId1"/>
    <sheet name="Figure-all" sheetId="3" r:id="rId2"/>
    <sheet name="old Figure" sheetId="2" r:id="rId3"/>
    <sheet name="old old figure" sheetId="1" r:id="rId4"/>
    <sheet name="model comparisons" sheetId="6" r:id="rId5"/>
    <sheet name="Kosambi" sheetId="4" r:id="rId6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G19" i="1"/>
  <c r="G20" i="1"/>
  <c r="G21" i="1"/>
  <c r="G22" i="1"/>
  <c r="H19" i="1"/>
  <c r="H20" i="1"/>
  <c r="H21" i="1"/>
  <c r="H22" i="1"/>
  <c r="I19" i="1"/>
  <c r="I20" i="1"/>
  <c r="I21" i="1"/>
  <c r="I22" i="1"/>
  <c r="M20" i="1"/>
  <c r="K22" i="1"/>
  <c r="K19" i="1"/>
  <c r="K21" i="1"/>
  <c r="M21" i="1"/>
  <c r="K20" i="1"/>
  <c r="L4" i="2"/>
  <c r="B22" i="1"/>
  <c r="C22" i="1"/>
  <c r="D22" i="1"/>
  <c r="E22" i="1"/>
  <c r="E20" i="1"/>
  <c r="D20" i="1"/>
  <c r="C20" i="1"/>
  <c r="B20" i="1"/>
  <c r="B21" i="1"/>
  <c r="C21" i="1"/>
  <c r="D21" i="1"/>
  <c r="E21" i="1"/>
  <c r="E19" i="1"/>
  <c r="D19" i="1"/>
  <c r="C19" i="1"/>
  <c r="B19" i="1"/>
  <c r="L20" i="1" l="1"/>
  <c r="L21" i="1"/>
  <c r="L5" i="6"/>
  <c r="I5" i="6"/>
  <c r="F5" i="6"/>
  <c r="F4" i="6"/>
  <c r="D4" i="6"/>
  <c r="L3" i="6"/>
  <c r="I3" i="6"/>
  <c r="F3" i="6"/>
  <c r="D3" i="6"/>
  <c r="L5" i="3"/>
  <c r="L7" i="3"/>
  <c r="L29" i="3"/>
  <c r="G22" i="3"/>
  <c r="E22" i="3"/>
  <c r="C22" i="3"/>
  <c r="C23" i="3"/>
  <c r="E23" i="3"/>
  <c r="G23" i="3"/>
  <c r="G19" i="3"/>
  <c r="I6" i="3" l="1"/>
  <c r="H6" i="3" s="1"/>
  <c r="J6" i="3" s="1"/>
  <c r="K6" i="3" s="1"/>
  <c r="M11" i="4"/>
  <c r="M10" i="4"/>
  <c r="S2" i="4"/>
  <c r="T2" i="4"/>
  <c r="U2" i="4"/>
  <c r="U6" i="4" s="1"/>
  <c r="R2" i="4"/>
  <c r="P7" i="4"/>
  <c r="P4" i="4"/>
  <c r="P6" i="4"/>
  <c r="P5" i="4"/>
  <c r="T6" i="4"/>
  <c r="S6" i="4"/>
  <c r="T5" i="4"/>
  <c r="U5" i="4"/>
  <c r="U4" i="4"/>
  <c r="T4" i="4"/>
  <c r="S5" i="4"/>
  <c r="R6" i="4"/>
  <c r="L11" i="4"/>
  <c r="L10" i="4"/>
  <c r="K11" i="4"/>
  <c r="K10" i="4"/>
  <c r="N7" i="4"/>
  <c r="M7" i="4"/>
  <c r="N6" i="4"/>
  <c r="M6" i="4"/>
  <c r="N5" i="4"/>
  <c r="M5" i="4"/>
  <c r="N4" i="4"/>
  <c r="M4" i="4"/>
  <c r="L7" i="4"/>
  <c r="L6" i="4"/>
  <c r="L5" i="4"/>
  <c r="L4" i="4"/>
  <c r="K7" i="4"/>
  <c r="K6" i="4"/>
  <c r="K5" i="4"/>
  <c r="K4" i="4"/>
  <c r="N2" i="4"/>
  <c r="M2" i="4"/>
  <c r="L2" i="4"/>
  <c r="K2" i="4"/>
  <c r="I5" i="4"/>
  <c r="I6" i="4"/>
  <c r="I7" i="4"/>
  <c r="I4" i="4"/>
  <c r="E29" i="3"/>
  <c r="E28" i="3"/>
  <c r="C29" i="3"/>
  <c r="C28" i="3"/>
  <c r="G29" i="3"/>
  <c r="D29" i="3" s="1"/>
  <c r="F29" i="3"/>
  <c r="G28" i="3"/>
  <c r="F28" i="3" s="1"/>
  <c r="D28" i="3"/>
  <c r="E19" i="3"/>
  <c r="C19" i="3"/>
  <c r="E18" i="3"/>
  <c r="C18" i="3"/>
  <c r="G18" i="3"/>
  <c r="G7" i="3"/>
  <c r="D7" i="3"/>
  <c r="G6" i="3"/>
  <c r="F6" i="3"/>
  <c r="D6" i="3"/>
  <c r="I7" i="3" l="1"/>
  <c r="H7" i="3" s="1"/>
  <c r="J7" i="3" s="1"/>
  <c r="K7" i="3" s="1"/>
  <c r="U7" i="4"/>
  <c r="R11" i="4"/>
  <c r="R7" i="4"/>
  <c r="R10" i="4" s="1"/>
  <c r="S10" i="4" s="1"/>
  <c r="R4" i="4"/>
  <c r="S7" i="4"/>
  <c r="S4" i="4"/>
  <c r="R5" i="4"/>
  <c r="T7" i="4"/>
  <c r="I29" i="3"/>
  <c r="I28" i="3"/>
  <c r="H28" i="3" s="1"/>
  <c r="J28" i="3" s="1"/>
  <c r="K28" i="3" s="1"/>
  <c r="H29" i="3"/>
  <c r="J29" i="3" s="1"/>
  <c r="K29" i="3" s="1"/>
  <c r="F7" i="3"/>
  <c r="S11" i="4" l="1"/>
  <c r="E8" i="5"/>
  <c r="C8" i="5"/>
  <c r="E7" i="5"/>
  <c r="C7" i="5"/>
  <c r="G6" i="5"/>
  <c r="I6" i="5" s="1"/>
  <c r="F6" i="5"/>
  <c r="I5" i="5"/>
  <c r="H5" i="5" s="1"/>
  <c r="J5" i="5" s="1"/>
  <c r="K5" i="5" s="1"/>
  <c r="G5" i="5"/>
  <c r="F5" i="5" s="1"/>
  <c r="G4" i="5"/>
  <c r="G8" i="5" s="1"/>
  <c r="G3" i="5"/>
  <c r="F3" i="5" l="1"/>
  <c r="I3" i="5"/>
  <c r="I7" i="5" s="1"/>
  <c r="I4" i="5"/>
  <c r="I8" i="5" s="1"/>
  <c r="D4" i="5"/>
  <c r="D5" i="5"/>
  <c r="D8" i="5"/>
  <c r="F8" i="5"/>
  <c r="D3" i="5"/>
  <c r="F4" i="5"/>
  <c r="H6" i="5"/>
  <c r="J6" i="5" s="1"/>
  <c r="K6" i="5" s="1"/>
  <c r="G7" i="5"/>
  <c r="D7" i="5" s="1"/>
  <c r="H3" i="5"/>
  <c r="D6" i="5"/>
  <c r="A3" i="4"/>
  <c r="A4" i="4" s="1"/>
  <c r="H4" i="5" l="1"/>
  <c r="J4" i="5" s="1"/>
  <c r="K4" i="5" s="1"/>
  <c r="F7" i="5"/>
  <c r="H7" i="5"/>
  <c r="J7" i="5" s="1"/>
  <c r="K7" i="5" s="1"/>
  <c r="J3" i="5"/>
  <c r="K3" i="5" s="1"/>
  <c r="H8" i="5"/>
  <c r="J8" i="5" s="1"/>
  <c r="K8" i="5" s="1"/>
  <c r="E21" i="3" l="1"/>
  <c r="E20" i="3"/>
  <c r="C21" i="3"/>
  <c r="C20" i="3"/>
  <c r="G17" i="3" l="1"/>
  <c r="F17" i="3" s="1"/>
  <c r="G16" i="3"/>
  <c r="F16" i="3" s="1"/>
  <c r="G15" i="3"/>
  <c r="D15" i="3" s="1"/>
  <c r="D16" i="3"/>
  <c r="G14" i="3"/>
  <c r="G13" i="3"/>
  <c r="F13" i="3" s="1"/>
  <c r="G12" i="3"/>
  <c r="F12" i="3" s="1"/>
  <c r="G11" i="3"/>
  <c r="D11" i="3" s="1"/>
  <c r="G10" i="3"/>
  <c r="I10" i="3" s="1"/>
  <c r="G9" i="3"/>
  <c r="F9" i="3" s="1"/>
  <c r="G8" i="3"/>
  <c r="F8" i="3" s="1"/>
  <c r="G5" i="3"/>
  <c r="G4" i="3"/>
  <c r="D17" i="3" l="1"/>
  <c r="I17" i="3"/>
  <c r="H17" i="3" s="1"/>
  <c r="J17" i="3" s="1"/>
  <c r="K17" i="3" s="1"/>
  <c r="I5" i="3"/>
  <c r="I23" i="3" s="1"/>
  <c r="F15" i="3"/>
  <c r="G21" i="3"/>
  <c r="I4" i="3"/>
  <c r="I22" i="3" s="1"/>
  <c r="F22" i="3"/>
  <c r="F5" i="3"/>
  <c r="D14" i="3"/>
  <c r="G20" i="3"/>
  <c r="F11" i="3"/>
  <c r="D5" i="3"/>
  <c r="D9" i="3"/>
  <c r="I12" i="3"/>
  <c r="H12" i="3" s="1"/>
  <c r="J12" i="3" s="1"/>
  <c r="K12" i="3" s="1"/>
  <c r="I8" i="3"/>
  <c r="H8" i="3" s="1"/>
  <c r="J8" i="3" s="1"/>
  <c r="K8" i="3" s="1"/>
  <c r="D13" i="3"/>
  <c r="I11" i="3"/>
  <c r="H11" i="3" s="1"/>
  <c r="J11" i="3" s="1"/>
  <c r="K11" i="3" s="1"/>
  <c r="I14" i="3"/>
  <c r="D4" i="3"/>
  <c r="D10" i="3"/>
  <c r="I9" i="3"/>
  <c r="H9" i="3" s="1"/>
  <c r="J9" i="3" s="1"/>
  <c r="K9" i="3" s="1"/>
  <c r="I13" i="3"/>
  <c r="H13" i="3" s="1"/>
  <c r="J13" i="3" s="1"/>
  <c r="K13" i="3" s="1"/>
  <c r="H10" i="3"/>
  <c r="J10" i="3" s="1"/>
  <c r="K10" i="3" s="1"/>
  <c r="I15" i="3"/>
  <c r="D23" i="3"/>
  <c r="F4" i="3"/>
  <c r="F10" i="3"/>
  <c r="F14" i="3"/>
  <c r="I16" i="3"/>
  <c r="H16" i="3" s="1"/>
  <c r="J16" i="3" s="1"/>
  <c r="K16" i="3" s="1"/>
  <c r="D8" i="3"/>
  <c r="D12" i="3"/>
  <c r="I13" i="2"/>
  <c r="G13" i="2"/>
  <c r="E13" i="2"/>
  <c r="C13" i="2"/>
  <c r="I12" i="2"/>
  <c r="G12" i="2"/>
  <c r="E12" i="2"/>
  <c r="C12" i="2"/>
  <c r="K11" i="2"/>
  <c r="H11" i="2" s="1"/>
  <c r="K10" i="2"/>
  <c r="J10" i="2" s="1"/>
  <c r="K9" i="2"/>
  <c r="J9" i="2" s="1"/>
  <c r="K8" i="2"/>
  <c r="L8" i="2" s="1"/>
  <c r="M8" i="2" s="1"/>
  <c r="D8" i="2"/>
  <c r="K7" i="2"/>
  <c r="H7" i="2" s="1"/>
  <c r="K6" i="2"/>
  <c r="K5" i="2"/>
  <c r="L5" i="2" s="1"/>
  <c r="M5" i="2" s="1"/>
  <c r="H5" i="2"/>
  <c r="K4" i="2"/>
  <c r="M4" i="2" s="1"/>
  <c r="I18" i="3" l="1"/>
  <c r="H5" i="3"/>
  <c r="I19" i="3"/>
  <c r="H14" i="3"/>
  <c r="I20" i="3"/>
  <c r="H15" i="3"/>
  <c r="I21" i="3"/>
  <c r="F19" i="3"/>
  <c r="D19" i="3"/>
  <c r="D18" i="3"/>
  <c r="F18" i="3"/>
  <c r="H4" i="3"/>
  <c r="J4" i="3" s="1"/>
  <c r="D20" i="3"/>
  <c r="F20" i="3"/>
  <c r="D21" i="3"/>
  <c r="F21" i="3"/>
  <c r="D22" i="3"/>
  <c r="F23" i="3"/>
  <c r="D7" i="2"/>
  <c r="J6" i="2"/>
  <c r="L6" i="2"/>
  <c r="M6" i="2" s="1"/>
  <c r="D9" i="2"/>
  <c r="L10" i="2"/>
  <c r="M10" i="2" s="1"/>
  <c r="F8" i="2"/>
  <c r="D4" i="2"/>
  <c r="J7" i="2"/>
  <c r="H8" i="2"/>
  <c r="F9" i="2"/>
  <c r="D11" i="2"/>
  <c r="K12" i="2"/>
  <c r="J12" i="2" s="1"/>
  <c r="L7" i="2"/>
  <c r="M7" i="2" s="1"/>
  <c r="L11" i="2"/>
  <c r="M11" i="2" s="1"/>
  <c r="L9" i="2"/>
  <c r="M9" i="2" s="1"/>
  <c r="J4" i="2"/>
  <c r="D6" i="2"/>
  <c r="J8" i="2"/>
  <c r="H9" i="2"/>
  <c r="J11" i="2"/>
  <c r="K13" i="2"/>
  <c r="H13" i="2" s="1"/>
  <c r="F4" i="2"/>
  <c r="D5" i="2"/>
  <c r="H4" i="2"/>
  <c r="F5" i="2"/>
  <c r="F6" i="2"/>
  <c r="J5" i="2"/>
  <c r="H6" i="2"/>
  <c r="F7" i="2"/>
  <c r="H10" i="2"/>
  <c r="F11" i="2"/>
  <c r="D10" i="2"/>
  <c r="F10" i="2"/>
  <c r="G15" i="1"/>
  <c r="K7" i="1"/>
  <c r="K9" i="1"/>
  <c r="J9" i="1" s="1"/>
  <c r="K11" i="1"/>
  <c r="J11" i="1" s="1"/>
  <c r="K13" i="1"/>
  <c r="G14" i="1"/>
  <c r="K6" i="1"/>
  <c r="J6" i="1" s="1"/>
  <c r="K8" i="1"/>
  <c r="K10" i="1"/>
  <c r="H10" i="1" s="1"/>
  <c r="K12" i="1"/>
  <c r="D12" i="1" s="1"/>
  <c r="E15" i="1"/>
  <c r="E14" i="1"/>
  <c r="I15" i="1"/>
  <c r="I14" i="1"/>
  <c r="C15" i="1"/>
  <c r="C14" i="1"/>
  <c r="J13" i="1"/>
  <c r="J12" i="1"/>
  <c r="J7" i="1"/>
  <c r="K5" i="1"/>
  <c r="J5" i="1"/>
  <c r="K4" i="1"/>
  <c r="H4" i="1" s="1"/>
  <c r="H13" i="1"/>
  <c r="H11" i="1"/>
  <c r="H7" i="1"/>
  <c r="H5" i="1"/>
  <c r="F13" i="1"/>
  <c r="F12" i="1"/>
  <c r="F7" i="1"/>
  <c r="F5" i="1"/>
  <c r="F9" i="1"/>
  <c r="D13" i="1"/>
  <c r="D10" i="1"/>
  <c r="D7" i="1"/>
  <c r="D6" i="1"/>
  <c r="D5" i="1"/>
  <c r="J8" i="1"/>
  <c r="H8" i="1"/>
  <c r="F8" i="1"/>
  <c r="D8" i="1"/>
  <c r="H19" i="3" l="1"/>
  <c r="H23" i="3"/>
  <c r="J5" i="3"/>
  <c r="K5" i="3" s="1"/>
  <c r="H18" i="3"/>
  <c r="J18" i="3" s="1"/>
  <c r="K18" i="3" s="1"/>
  <c r="H22" i="3"/>
  <c r="J15" i="3"/>
  <c r="K15" i="3" s="1"/>
  <c r="H21" i="3"/>
  <c r="J21" i="3" s="1"/>
  <c r="K21" i="3" s="1"/>
  <c r="J19" i="3"/>
  <c r="K19" i="3" s="1"/>
  <c r="J14" i="3"/>
  <c r="K14" i="3" s="1"/>
  <c r="H20" i="3"/>
  <c r="J20" i="3" s="1"/>
  <c r="K20" i="3" s="1"/>
  <c r="K4" i="3"/>
  <c r="J22" i="3"/>
  <c r="K22" i="3" s="1"/>
  <c r="H12" i="2"/>
  <c r="D9" i="1"/>
  <c r="F13" i="2"/>
  <c r="D12" i="2"/>
  <c r="L13" i="2"/>
  <c r="M13" i="2" s="1"/>
  <c r="D4" i="1"/>
  <c r="F6" i="1"/>
  <c r="D13" i="2"/>
  <c r="L12" i="2"/>
  <c r="M12" i="2" s="1"/>
  <c r="H6" i="1"/>
  <c r="J4" i="1"/>
  <c r="K14" i="1"/>
  <c r="H14" i="1" s="1"/>
  <c r="J13" i="2"/>
  <c r="F12" i="2"/>
  <c r="J14" i="1"/>
  <c r="D14" i="1"/>
  <c r="D11" i="1"/>
  <c r="F4" i="1"/>
  <c r="F10" i="1"/>
  <c r="H9" i="1"/>
  <c r="J10" i="1"/>
  <c r="K15" i="1"/>
  <c r="H12" i="1"/>
  <c r="F11" i="1"/>
  <c r="J23" i="3" l="1"/>
  <c r="K23" i="3" s="1"/>
  <c r="F14" i="1"/>
  <c r="H15" i="1"/>
  <c r="F15" i="1"/>
  <c r="J15" i="1"/>
  <c r="D15" i="1"/>
</calcChain>
</file>

<file path=xl/sharedStrings.xml><?xml version="1.0" encoding="utf-8"?>
<sst xmlns="http://schemas.openxmlformats.org/spreadsheetml/2006/main" count="190" uniqueCount="84">
  <si>
    <t>♀</t>
  </si>
  <si>
    <t>♂</t>
  </si>
  <si>
    <t>+ +</t>
  </si>
  <si>
    <t>(%)</t>
  </si>
  <si>
    <t>+ –</t>
  </si>
  <si>
    <t>– +</t>
  </si>
  <si>
    <t>– –</t>
  </si>
  <si>
    <t>n</t>
  </si>
  <si>
    <r>
      <rPr>
        <b/>
        <i/>
        <sz val="12"/>
        <color theme="1"/>
        <rFont val="Helvetica"/>
        <family val="2"/>
      </rPr>
      <t>tir1/+</t>
    </r>
    <r>
      <rPr>
        <i/>
        <sz val="12"/>
        <color theme="0" tint="-0.34998626667073579"/>
        <rFont val="Helvetica"/>
        <family val="2"/>
      </rPr>
      <t xml:space="preserve"> </t>
    </r>
    <r>
      <rPr>
        <i/>
        <sz val="11"/>
        <color theme="0" tint="-0.34998626667073579"/>
        <rFont val="Helvetica"/>
        <family val="2"/>
      </rPr>
      <t>AFB1+</t>
    </r>
    <r>
      <rPr>
        <i/>
        <sz val="12"/>
        <color theme="1"/>
        <rFont val="Helvetica"/>
        <family val="2"/>
      </rPr>
      <t xml:space="preserve"> </t>
    </r>
    <r>
      <rPr>
        <b/>
        <i/>
        <sz val="12"/>
        <color theme="1"/>
        <rFont val="Helvetica"/>
        <family val="2"/>
      </rPr>
      <t>afb2/+</t>
    </r>
    <r>
      <rPr>
        <i/>
        <sz val="12"/>
        <color theme="1"/>
        <rFont val="Helvetica"/>
        <family val="2"/>
      </rPr>
      <t xml:space="preserve"> afb3 afb4 </t>
    </r>
    <r>
      <rPr>
        <i/>
        <u/>
        <sz val="12"/>
        <color theme="1"/>
        <rFont val="Helvetica"/>
        <family val="2"/>
      </rPr>
      <t>afb5</t>
    </r>
  </si>
  <si>
    <r>
      <rPr>
        <b/>
        <i/>
        <sz val="12"/>
        <color theme="1"/>
        <rFont val="Helvetica"/>
        <family val="2"/>
      </rPr>
      <t>tir1/+</t>
    </r>
    <r>
      <rPr>
        <i/>
        <sz val="12"/>
        <color theme="1"/>
        <rFont val="Helvetica"/>
        <family val="2"/>
      </rPr>
      <t xml:space="preserve"> afb1</t>
    </r>
    <r>
      <rPr>
        <b/>
        <i/>
        <sz val="12"/>
        <color theme="1"/>
        <rFont val="Helvetica"/>
        <family val="2"/>
      </rPr>
      <t xml:space="preserve"> afb2/+</t>
    </r>
    <r>
      <rPr>
        <i/>
        <sz val="12"/>
        <color theme="1"/>
        <rFont val="Helvetica"/>
        <family val="2"/>
      </rPr>
      <t xml:space="preserve"> afb3 afb4 </t>
    </r>
    <r>
      <rPr>
        <i/>
        <u/>
        <sz val="12"/>
        <color theme="1"/>
        <rFont val="Helvetica"/>
        <family val="2"/>
      </rPr>
      <t>afb5</t>
    </r>
  </si>
  <si>
    <r>
      <rPr>
        <b/>
        <i/>
        <sz val="12"/>
        <color theme="1"/>
        <rFont val="Helvetica"/>
        <family val="2"/>
      </rPr>
      <t>tir1/+</t>
    </r>
    <r>
      <rPr>
        <i/>
        <sz val="12"/>
        <color theme="1"/>
        <rFont val="Helvetica"/>
        <family val="2"/>
      </rPr>
      <t xml:space="preserve"> afb1 </t>
    </r>
    <r>
      <rPr>
        <i/>
        <u/>
        <sz val="12"/>
        <color theme="1"/>
        <rFont val="Helvetica"/>
        <family val="2"/>
      </rPr>
      <t>afb2</t>
    </r>
    <r>
      <rPr>
        <i/>
        <sz val="12"/>
        <color theme="1"/>
        <rFont val="Helvetica"/>
        <family val="2"/>
      </rPr>
      <t xml:space="preserve"> afb3 afb4 </t>
    </r>
    <r>
      <rPr>
        <b/>
        <i/>
        <sz val="12"/>
        <color theme="1"/>
        <rFont val="Helvetica"/>
        <family val="2"/>
      </rPr>
      <t>afb5/+</t>
    </r>
  </si>
  <si>
    <r>
      <rPr>
        <i/>
        <u/>
        <sz val="12"/>
        <color theme="1"/>
        <rFont val="Helvetica"/>
        <family val="2"/>
      </rPr>
      <t>tir1</t>
    </r>
    <r>
      <rPr>
        <i/>
        <sz val="12"/>
        <color theme="1"/>
        <rFont val="Helvetica"/>
        <family val="2"/>
      </rPr>
      <t xml:space="preserve"> afb1 afb2</t>
    </r>
    <r>
      <rPr>
        <b/>
        <i/>
        <sz val="12"/>
        <color theme="1"/>
        <rFont val="Helvetica"/>
        <family val="2"/>
      </rPr>
      <t xml:space="preserve"> afb3/+</t>
    </r>
    <r>
      <rPr>
        <i/>
        <sz val="12"/>
        <color theme="1"/>
        <rFont val="Helvetica"/>
        <family val="2"/>
      </rPr>
      <t xml:space="preserve"> afb4 </t>
    </r>
    <r>
      <rPr>
        <b/>
        <i/>
        <sz val="12"/>
        <color theme="1"/>
        <rFont val="Helvetica"/>
        <family val="2"/>
      </rPr>
      <t>afb5/+</t>
    </r>
  </si>
  <si>
    <r>
      <rPr>
        <i/>
        <u/>
        <sz val="12"/>
        <color theme="1"/>
        <rFont val="Helvetica"/>
        <family val="2"/>
      </rPr>
      <t>tir1</t>
    </r>
    <r>
      <rPr>
        <i/>
        <sz val="12"/>
        <color theme="1"/>
        <rFont val="Helvetica"/>
        <family val="2"/>
      </rPr>
      <t xml:space="preserve"> afb1 </t>
    </r>
    <r>
      <rPr>
        <b/>
        <i/>
        <sz val="12"/>
        <color theme="1"/>
        <rFont val="Helvetica"/>
        <family val="2"/>
      </rPr>
      <t>afb2/+</t>
    </r>
    <r>
      <rPr>
        <i/>
        <sz val="12"/>
        <color theme="1"/>
        <rFont val="Helvetica"/>
        <family val="2"/>
      </rPr>
      <t xml:space="preserve"> afb3</t>
    </r>
    <r>
      <rPr>
        <b/>
        <i/>
        <sz val="12"/>
        <color theme="1"/>
        <rFont val="Helvetica"/>
        <family val="2"/>
      </rPr>
      <t xml:space="preserve"> afb4/+</t>
    </r>
    <r>
      <rPr>
        <i/>
        <sz val="12"/>
        <color theme="1"/>
        <rFont val="Helvetica"/>
        <family val="2"/>
      </rPr>
      <t xml:space="preserve"> afb5</t>
    </r>
  </si>
  <si>
    <t>Genotype</t>
  </si>
  <si>
    <t>Parent</t>
  </si>
  <si>
    <t>Genotype of gamete at segregating loci*</t>
  </si>
  <si>
    <r>
      <t>Total</t>
    </r>
    <r>
      <rPr>
        <i/>
        <vertAlign val="superscript"/>
        <sz val="12"/>
        <color rgb="FF1C1C1C"/>
        <rFont val="Helvetica"/>
        <family val="2"/>
      </rPr>
      <t>†</t>
    </r>
  </si>
  <si>
    <t>Gamete transmission through the mega- and microgametophyte</t>
  </si>
  <si>
    <r>
      <t xml:space="preserve">Plants of the given genotype were used in crosses to wild type (Col-0) as either the pollen donor (♂) or the recipient (♀). Progeny were genotyped for the two segregating loci (bold) plus a third non-segregating locus (underlined) as a control. </t>
    </r>
    <r>
      <rPr>
        <sz val="12"/>
        <color rgb="FF1C1C1C"/>
        <rFont val="Helvetica"/>
        <family val="2"/>
      </rPr>
      <t>*</t>
    </r>
    <r>
      <rPr>
        <sz val="10"/>
        <color rgb="FF1C1C1C"/>
        <rFont val="Helvetica"/>
        <family val="2"/>
      </rPr>
      <t xml:space="preserve"> </t>
    </r>
    <r>
      <rPr>
        <sz val="12"/>
        <color rgb="FF1C1C1C"/>
        <rFont val="Helvetica"/>
        <family val="2"/>
      </rPr>
      <t xml:space="preserve">Order of loci is the same as in first column. </t>
    </r>
    <r>
      <rPr>
        <vertAlign val="superscript"/>
        <sz val="12"/>
        <color rgb="FF1C1C1C"/>
        <rFont val="Helvetica"/>
        <family val="2"/>
      </rPr>
      <t xml:space="preserve">† </t>
    </r>
    <r>
      <rPr>
        <sz val="12"/>
        <color rgb="FF1C1C1C"/>
        <rFont val="Helvetica"/>
        <family val="2"/>
      </rPr>
      <t>Totals for crosses segregating the sextuple mutant (lines 3-10).</t>
    </r>
  </si>
  <si>
    <t>line #</t>
  </si>
  <si>
    <t>𝜒2</t>
  </si>
  <si>
    <t>P</t>
  </si>
  <si>
    <t>Total</t>
  </si>
  <si>
    <r>
      <t>𝜒</t>
    </r>
    <r>
      <rPr>
        <vertAlign val="superscript"/>
        <sz val="12"/>
        <color theme="1"/>
        <rFont val="Arial"/>
        <family val="2"/>
      </rPr>
      <t>2</t>
    </r>
  </si>
  <si>
    <r>
      <t xml:space="preserve">Plants of the given genotype were used in crosses to wild type (Col-0) as either the pollen donor (♂) or the recipient (♀). Progeny were genotyped for the two segregating loci (bold) plus a third non-segregating locus (underlined) as a control. </t>
    </r>
    <r>
      <rPr>
        <sz val="12"/>
        <color rgb="FF1C1C1C"/>
        <rFont val="Helvetica"/>
        <family val="2"/>
      </rPr>
      <t>*</t>
    </r>
    <r>
      <rPr>
        <sz val="10"/>
        <color rgb="FF1C1C1C"/>
        <rFont val="Helvetica"/>
        <family val="2"/>
      </rPr>
      <t xml:space="preserve"> </t>
    </r>
    <r>
      <rPr>
        <sz val="12"/>
        <color rgb="FF1C1C1C"/>
        <rFont val="Helvetica"/>
        <family val="2"/>
      </rPr>
      <t>Order of loci is the same as in first column.</t>
    </r>
    <r>
      <rPr>
        <sz val="12"/>
        <color rgb="FF000000"/>
        <rFont val="Helvetica"/>
        <family val="2"/>
      </rPr>
      <t xml:space="preserve"> The Chi-squared test compared the observed numbers of sextuple and non-sextuple gametophytes to the expected 1:3 ratio.</t>
    </r>
  </si>
  <si>
    <t>Figure 3—figure supplement 2. Gamete transmission through the megagametophyte and pollen</t>
  </si>
  <si>
    <t>non-sextuple (%)</t>
  </si>
  <si>
    <t>exp(–)</t>
  </si>
  <si>
    <t>exp(+)</t>
  </si>
  <si>
    <t>sextuple (%)</t>
  </si>
  <si>
    <t xml:space="preserve">Combined </t>
  </si>
  <si>
    <t>Genotype of gamete</t>
  </si>
  <si>
    <t xml:space="preserve">Combined, double heterozygotes </t>
  </si>
  <si>
    <t>p</t>
  </si>
  <si>
    <t>RF</t>
  </si>
  <si>
    <t>AGI map distance between TIR1 and AFB2</t>
  </si>
  <si>
    <t>expected recombination rate from Kosambi Mapping function</t>
  </si>
  <si>
    <t>Expected rate of parental chromosome</t>
  </si>
  <si>
    <t>tir1/+afb2/+afb1345's pedigree</t>
  </si>
  <si>
    <t>afb2/+tir1afb135 x afb4-8</t>
  </si>
  <si>
    <t>tir1/+afb2/+afb1345</t>
  </si>
  <si>
    <t>1547-35&gt;1741</t>
  </si>
  <si>
    <t>[tir1- 1-afb2]/[+-+] afb1/afb1 afb3/afb3 afb4/+ afb5/afb5</t>
  </si>
  <si>
    <t>1486-7&gt;1547</t>
  </si>
  <si>
    <t>F2</t>
  </si>
  <si>
    <t>Combined</t>
  </si>
  <si>
    <r>
      <rPr>
        <b/>
        <i/>
        <sz val="12"/>
        <color theme="1"/>
        <rFont val="Helvetica"/>
        <family val="2"/>
      </rPr>
      <t>TIR1/AFB5/AFB2-d2/+</t>
    </r>
    <r>
      <rPr>
        <i/>
        <sz val="12"/>
        <color theme="1"/>
        <rFont val="Helvetica"/>
        <family val="2"/>
      </rPr>
      <t xml:space="preserve"> tir1-1 afb1 afb2-3 afb3 afb4 afb5</t>
    </r>
  </si>
  <si>
    <r>
      <rPr>
        <b/>
        <i/>
        <sz val="12"/>
        <color theme="1"/>
        <rFont val="Helvetica"/>
        <family val="2"/>
      </rPr>
      <t>TIR1/AFB5/AFB2-d2/+</t>
    </r>
    <r>
      <rPr>
        <i/>
        <sz val="12"/>
        <color theme="1"/>
        <rFont val="Helvetica"/>
        <family val="2"/>
      </rPr>
      <t xml:space="preserve"> tir1-10 afb1 afb2-1 afb3 afb4 afb5</t>
    </r>
  </si>
  <si>
    <r>
      <t>Plants of the given genotype were used in crosses to wild type (Col-0) as either the pollen donor (♂) or the recipient (♀). T</t>
    </r>
    <r>
      <rPr>
        <sz val="12"/>
        <color rgb="FF1C1C1C"/>
        <rFont val="Helvetica"/>
        <family val="2"/>
      </rPr>
      <t xml:space="preserve">he progeny were sprayed with herbicide to identify F1 progeny inheriting the transgene. </t>
    </r>
    <r>
      <rPr>
        <sz val="12"/>
        <color rgb="FF000000"/>
        <rFont val="Helvetica"/>
        <family val="2"/>
      </rPr>
      <t xml:space="preserve">The Chi-squared tests compared the observed numbers of sextuple and complemented-sextuple gametophytes to the expected 1:1 ratio. </t>
    </r>
  </si>
  <si>
    <r>
      <t>Plants of the given genotype were used in crosses to wild type (Col-0) as either the pollen donor (♂) or the recipient (♀). For the double heterozygote lines, progeny were PCR genotyped for the two segregating loci (bold) plus a third non-segregating locus (underlined) as a control.</t>
    </r>
    <r>
      <rPr>
        <sz val="12"/>
        <color rgb="FF1C1C1C"/>
        <rFont val="Helvetica"/>
        <family val="2"/>
      </rPr>
      <t xml:space="preserve"> For the lines segregating the </t>
    </r>
    <r>
      <rPr>
        <i/>
        <sz val="12"/>
        <color rgb="FF1C1C1C"/>
        <rFont val="Helvetica"/>
        <family val="2"/>
      </rPr>
      <t>TIR1/AFB5/AFB2</t>
    </r>
    <r>
      <rPr>
        <sz val="12"/>
        <color rgb="FF1C1C1C"/>
        <rFont val="Helvetica"/>
        <family val="2"/>
      </rPr>
      <t xml:space="preserve"> transgene, the progeny were sprayed with Basta to identify F1 progeny with the transgene. </t>
    </r>
    <r>
      <rPr>
        <sz val="12"/>
        <color rgb="FF000000"/>
        <rFont val="Helvetica"/>
        <family val="2"/>
      </rPr>
      <t xml:space="preserve">The Chi-squared tests compared the observed numbers of sextuple and non-sextuple gametophytes to the expected 1:3 (most of the double heterozygote lines) or 1:1 (TIR1/AFB5/AFB2 hemizygote lines) ratios. For the </t>
    </r>
    <r>
      <rPr>
        <i/>
        <sz val="12"/>
        <color rgb="FF000000"/>
        <rFont val="Helvetica"/>
        <family val="2"/>
      </rPr>
      <t xml:space="preserve">tir1/+afb2/+afb1345 </t>
    </r>
    <r>
      <rPr>
        <sz val="12"/>
        <color rgb="FF000000"/>
        <rFont val="Helvetica"/>
        <family val="2"/>
      </rPr>
      <t xml:space="preserve">line, the expected ratio was calculated assuming a 0.65 recombination rate between </t>
    </r>
    <r>
      <rPr>
        <i/>
        <sz val="12"/>
        <color rgb="FF000000"/>
        <rFont val="Helvetica"/>
        <family val="2"/>
      </rPr>
      <t>tir1-1</t>
    </r>
    <r>
      <rPr>
        <sz val="12"/>
        <color rgb="FF000000"/>
        <rFont val="Helvetica"/>
        <family val="2"/>
      </rPr>
      <t xml:space="preserve"> and </t>
    </r>
    <r>
      <rPr>
        <i/>
        <sz val="12"/>
        <color rgb="FF000000"/>
        <rFont val="Helvetica"/>
        <family val="2"/>
      </rPr>
      <t xml:space="preserve">afb2-3 </t>
    </r>
    <r>
      <rPr>
        <sz val="12"/>
        <color rgb="FF000000"/>
        <rFont val="Helvetica"/>
        <family val="2"/>
      </rPr>
      <t xml:space="preserve">(from Kosambi mapping function for loci linked in </t>
    </r>
    <r>
      <rPr>
        <i/>
        <sz val="12"/>
        <color rgb="FF000000"/>
        <rFont val="Helvetica"/>
        <family val="2"/>
      </rPr>
      <t>cis</t>
    </r>
    <r>
      <rPr>
        <sz val="12"/>
        <color rgb="FF000000"/>
        <rFont val="Helvetica"/>
        <family val="2"/>
      </rPr>
      <t xml:space="preserve"> 44 cM apart). </t>
    </r>
  </si>
  <si>
    <r>
      <t xml:space="preserve">Combined, </t>
    </r>
    <r>
      <rPr>
        <i/>
        <sz val="12"/>
        <color theme="1"/>
        <rFont val="Helvetica"/>
        <family val="2"/>
      </rPr>
      <t>TIR1/AFB5/AFB2-d2/+ tir1afb12345</t>
    </r>
    <r>
      <rPr>
        <sz val="12"/>
        <color theme="1"/>
        <rFont val="Helvetica"/>
        <family val="2"/>
      </rPr>
      <t xml:space="preserve">       </t>
    </r>
  </si>
  <si>
    <t>Complemented (%)</t>
  </si>
  <si>
    <r>
      <rPr>
        <b/>
        <i/>
        <sz val="12"/>
        <color theme="1"/>
        <rFont val="Helvetica"/>
        <family val="2"/>
      </rPr>
      <t>TIR1/AFB5/AFB2-d2/+</t>
    </r>
    <r>
      <rPr>
        <i/>
        <sz val="12"/>
        <color theme="1"/>
        <rFont val="Helvetica"/>
        <family val="2"/>
      </rPr>
      <t xml:space="preserve"> tir1-1 afb2-3 afb1345</t>
    </r>
  </si>
  <si>
    <r>
      <rPr>
        <b/>
        <i/>
        <sz val="12"/>
        <color theme="1"/>
        <rFont val="Helvetica"/>
        <family val="2"/>
      </rPr>
      <t>TIR1/AFB5/AFB2-d2/+</t>
    </r>
    <r>
      <rPr>
        <i/>
        <sz val="12"/>
        <color theme="1"/>
        <rFont val="Helvetica"/>
        <family val="2"/>
      </rPr>
      <t xml:space="preserve"> tir1-10 afb2-1 afb1345</t>
    </r>
  </si>
  <si>
    <r>
      <rPr>
        <b/>
        <i/>
        <sz val="12"/>
        <color theme="1"/>
        <rFont val="Helvetica"/>
        <family val="2"/>
      </rPr>
      <t>tir1/+</t>
    </r>
    <r>
      <rPr>
        <i/>
        <sz val="12"/>
        <color theme="1"/>
        <rFont val="Helvetica"/>
        <family val="2"/>
      </rPr>
      <t xml:space="preserve"> </t>
    </r>
    <r>
      <rPr>
        <b/>
        <i/>
        <sz val="12"/>
        <color theme="1"/>
        <rFont val="Helvetica"/>
        <family val="2"/>
      </rPr>
      <t>afb2/+</t>
    </r>
    <r>
      <rPr>
        <i/>
        <sz val="12"/>
        <color theme="1"/>
        <rFont val="Helvetica"/>
        <family val="2"/>
      </rPr>
      <t xml:space="preserve"> afb3 afb4 </t>
    </r>
    <r>
      <rPr>
        <i/>
        <u/>
        <sz val="12"/>
        <color theme="1"/>
        <rFont val="Helvetica"/>
        <family val="2"/>
      </rPr>
      <t>afb5</t>
    </r>
  </si>
  <si>
    <r>
      <rPr>
        <b/>
        <i/>
        <sz val="12"/>
        <color theme="1"/>
        <rFont val="Helvetica"/>
        <family val="2"/>
      </rPr>
      <t>tir1/+</t>
    </r>
    <r>
      <rPr>
        <i/>
        <sz val="12"/>
        <color theme="1"/>
        <rFont val="Helvetica"/>
        <family val="2"/>
      </rPr>
      <t xml:space="preserve"> ±afb1</t>
    </r>
    <r>
      <rPr>
        <b/>
        <i/>
        <sz val="12"/>
        <color theme="1"/>
        <rFont val="Helvetica"/>
        <family val="2"/>
      </rPr>
      <t xml:space="preserve"> afb2/+</t>
    </r>
    <r>
      <rPr>
        <i/>
        <sz val="12"/>
        <color theme="1"/>
        <rFont val="Helvetica"/>
        <family val="2"/>
      </rPr>
      <t xml:space="preserve"> afb3 afb4 </t>
    </r>
    <r>
      <rPr>
        <i/>
        <u/>
        <sz val="12"/>
        <color theme="1"/>
        <rFont val="Helvetica"/>
        <family val="2"/>
      </rPr>
      <t>afb5</t>
    </r>
  </si>
  <si>
    <t>t2</t>
  </si>
  <si>
    <t>t+</t>
  </si>
  <si>
    <t>+2</t>
  </si>
  <si>
    <t>++</t>
  </si>
  <si>
    <t>F3</t>
  </si>
  <si>
    <t>F4</t>
  </si>
  <si>
    <t>Transmission through megagametophyte (mgg)</t>
  </si>
  <si>
    <t>Obs. sextuple  %</t>
  </si>
  <si>
    <t>Exp sextuple*</t>
  </si>
  <si>
    <t>% missing</t>
  </si>
  <si>
    <t>double hets combined**</t>
  </si>
  <si>
    <t>Comp-sextuple combined</t>
  </si>
  <si>
    <t>All combined</t>
  </si>
  <si>
    <t>–</t>
  </si>
  <si>
    <t>*Assumptions</t>
  </si>
  <si>
    <r>
      <t xml:space="preserve">tir1–afb2 are in </t>
    </r>
    <r>
      <rPr>
        <b/>
        <i/>
        <sz val="12"/>
        <color theme="1"/>
        <rFont val="ArialMT"/>
      </rPr>
      <t>cis</t>
    </r>
    <r>
      <rPr>
        <sz val="12"/>
        <color theme="1"/>
        <rFont val="Calibri"/>
        <family val="2"/>
        <scheme val="minor"/>
      </rPr>
      <t xml:space="preserve"> 44 cM apart in both tir1/+afb2/+afb345 and tir1/+afb2/+afb1345</t>
    </r>
  </si>
  <si>
    <t>Kosambi: 44 cM=65% tir1 transmitted with afb2</t>
  </si>
  <si>
    <r>
      <t xml:space="preserve">tir1–afb2 are in </t>
    </r>
    <r>
      <rPr>
        <b/>
        <i/>
        <sz val="12"/>
        <color rgb="FFFF0000"/>
        <rFont val="ArialMT"/>
      </rPr>
      <t>trans</t>
    </r>
    <r>
      <rPr>
        <sz val="12"/>
        <color rgb="FFFF0000"/>
        <rFont val="ArialMT"/>
        <family val="2"/>
      </rPr>
      <t xml:space="preserve"> 44 cM apart in both tir1/+afb2/+afb345 and tir1/+afb2/+afb1345</t>
    </r>
  </si>
  <si>
    <t>Kosambi: 44 cM=35% tir1 transmitted with afb2</t>
  </si>
  <si>
    <r>
      <t xml:space="preserve">Unlikely because sextuple is then </t>
    </r>
    <r>
      <rPr>
        <i/>
        <sz val="12"/>
        <color rgb="FFFF0000"/>
        <rFont val="ArialMT"/>
      </rPr>
      <t>overrepresented</t>
    </r>
    <r>
      <rPr>
        <sz val="12"/>
        <color rgb="FFFF0000"/>
        <rFont val="ArialMT"/>
        <family val="2"/>
      </rPr>
      <t xml:space="preserve"> in pollen transmission</t>
    </r>
  </si>
  <si>
    <r>
      <t xml:space="preserve">tir1–afb2 are in </t>
    </r>
    <r>
      <rPr>
        <b/>
        <i/>
        <sz val="12"/>
        <color rgb="FF7030A0"/>
        <rFont val="ArialMT"/>
      </rPr>
      <t>trans</t>
    </r>
    <r>
      <rPr>
        <sz val="12"/>
        <color rgb="FF7030A0"/>
        <rFont val="ArialMT"/>
      </rPr>
      <t xml:space="preserve"> in tir1/+afb2/+afb345 and </t>
    </r>
    <r>
      <rPr>
        <b/>
        <i/>
        <sz val="12"/>
        <color rgb="FF7030A0"/>
        <rFont val="ArialMT"/>
      </rPr>
      <t>cis</t>
    </r>
    <r>
      <rPr>
        <sz val="12"/>
        <color rgb="FF7030A0"/>
        <rFont val="ArialMT"/>
      </rPr>
      <t xml:space="preserve"> in tir1/+afb2/+afb1345 </t>
    </r>
  </si>
  <si>
    <t>Best fits expected pollen transmission rate</t>
  </si>
  <si>
    <t>**including tir1/+afb2/+afb345 as well as tir1/+afb2/+afb1345</t>
  </si>
  <si>
    <t>cis or trans?</t>
  </si>
  <si>
    <r>
      <t>tir1-afb2/++ afb34</t>
    </r>
    <r>
      <rPr>
        <i/>
        <u/>
        <sz val="12"/>
        <color theme="1"/>
        <rFont val="Helvetica"/>
        <family val="2"/>
      </rPr>
      <t>5</t>
    </r>
    <r>
      <rPr>
        <i/>
        <sz val="12"/>
        <color theme="1"/>
        <rFont val="Helvetica"/>
        <family val="2"/>
      </rPr>
      <t xml:space="preserve"> </t>
    </r>
    <r>
      <rPr>
        <sz val="12"/>
        <color theme="1"/>
        <rFont val="Helvetica"/>
        <family val="2"/>
      </rPr>
      <t>(♂+♀)</t>
    </r>
  </si>
  <si>
    <r>
      <t>tir1-+/+-afb2 afb34</t>
    </r>
    <r>
      <rPr>
        <i/>
        <u/>
        <sz val="12"/>
        <color theme="1"/>
        <rFont val="Helvetica"/>
        <family val="2"/>
      </rPr>
      <t>5</t>
    </r>
    <r>
      <rPr>
        <i/>
        <sz val="12"/>
        <color theme="1"/>
        <rFont val="Helvetica"/>
        <family val="2"/>
      </rPr>
      <t xml:space="preserve"> </t>
    </r>
    <r>
      <rPr>
        <sz val="12"/>
        <color theme="1"/>
        <rFont val="Helvetica"/>
        <family val="2"/>
      </rPr>
      <t>(♂+♀)</t>
    </r>
  </si>
  <si>
    <r>
      <t>tir1-afb2/++ afb134</t>
    </r>
    <r>
      <rPr>
        <i/>
        <u/>
        <sz val="12"/>
        <color theme="1"/>
        <rFont val="Helvetica"/>
        <family val="2"/>
      </rPr>
      <t>5</t>
    </r>
    <r>
      <rPr>
        <i/>
        <sz val="12"/>
        <color theme="1"/>
        <rFont val="Helvetica"/>
        <family val="2"/>
      </rPr>
      <t xml:space="preserve"> </t>
    </r>
    <r>
      <rPr>
        <sz val="12"/>
        <color theme="1"/>
        <rFont val="Helvetica"/>
        <family val="2"/>
      </rPr>
      <t>(♂+♀)</t>
    </r>
  </si>
  <si>
    <r>
      <t>tir1-+/+-afb2 afb134</t>
    </r>
    <r>
      <rPr>
        <i/>
        <u/>
        <sz val="12"/>
        <color theme="1"/>
        <rFont val="Helvetica"/>
        <family val="2"/>
      </rPr>
      <t>5</t>
    </r>
    <r>
      <rPr>
        <i/>
        <sz val="12"/>
        <color theme="1"/>
        <rFont val="Helvetica"/>
        <family val="2"/>
      </rPr>
      <t xml:space="preserve"> </t>
    </r>
    <r>
      <rPr>
        <sz val="12"/>
        <color theme="1"/>
        <rFont val="Helvetica"/>
        <family val="2"/>
      </rPr>
      <t>(♂+♀)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</si>
</sst>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"/>
  </numFmts>
  <fonts count="43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Helvetica"/>
      <family val="2"/>
    </font>
    <font>
      <i/>
      <sz val="12"/>
      <color theme="1"/>
      <name val="Helvetica"/>
      <family val="2"/>
    </font>
    <font>
      <b/>
      <i/>
      <sz val="12"/>
      <color theme="1"/>
      <name val="Helvetica"/>
      <family val="2"/>
    </font>
    <font>
      <i/>
      <sz val="12"/>
      <color theme="0" tint="-0.34998626667073579"/>
      <name val="Helvetica"/>
      <family val="2"/>
    </font>
    <font>
      <i/>
      <sz val="11"/>
      <color theme="0" tint="-0.34998626667073579"/>
      <name val="Helvetica"/>
      <family val="2"/>
    </font>
    <font>
      <sz val="12"/>
      <color theme="1"/>
      <name val="Helvetica Light"/>
    </font>
    <font>
      <i/>
      <sz val="12"/>
      <color theme="1"/>
      <name val="Helvetica Light"/>
    </font>
    <font>
      <sz val="8"/>
      <name val="Calibri"/>
      <family val="2"/>
      <scheme val="minor"/>
    </font>
    <font>
      <i/>
      <u/>
      <sz val="12"/>
      <color theme="1"/>
      <name val="Helvetica"/>
      <family val="2"/>
    </font>
    <font>
      <sz val="11"/>
      <color theme="1"/>
      <name val="Helvetica"/>
      <family val="2"/>
    </font>
    <font>
      <vertAlign val="superscript"/>
      <sz val="12"/>
      <color rgb="FF1C1C1C"/>
      <name val="Helvetica"/>
      <family val="2"/>
    </font>
    <font>
      <i/>
      <vertAlign val="superscript"/>
      <sz val="12"/>
      <color rgb="FF1C1C1C"/>
      <name val="Helvetica"/>
      <family val="2"/>
    </font>
    <font>
      <b/>
      <sz val="12"/>
      <color theme="1"/>
      <name val="Helvetica"/>
      <family val="2"/>
    </font>
    <font>
      <sz val="12"/>
      <color rgb="FF000000"/>
      <name val="Helvetica"/>
      <family val="2"/>
    </font>
    <font>
      <sz val="12"/>
      <color rgb="FF1C1C1C"/>
      <name val="Helvetica"/>
      <family val="2"/>
    </font>
    <font>
      <sz val="10"/>
      <color rgb="FF1C1C1C"/>
      <name val="Helvetica"/>
      <family val="2"/>
    </font>
    <font>
      <sz val="6"/>
      <color theme="0" tint="-0.499984740745262"/>
      <name val="Helvetica"/>
      <family val="2"/>
    </font>
    <font>
      <sz val="12"/>
      <name val="Helvetica"/>
      <family val="2"/>
    </font>
    <font>
      <sz val="12"/>
      <color theme="1"/>
      <name val="Cambria Math"/>
      <family val="1"/>
    </font>
    <font>
      <vertAlign val="superscript"/>
      <sz val="12"/>
      <color theme="1"/>
      <name val="Arial"/>
      <family val="2"/>
    </font>
    <font>
      <i/>
      <sz val="12"/>
      <color rgb="FF1C1C1C"/>
      <name val="Helvetica"/>
      <family val="2"/>
    </font>
    <font>
      <i/>
      <sz val="12"/>
      <color rgb="FF000000"/>
      <name val="Helvetica"/>
      <family val="2"/>
    </font>
    <font>
      <sz val="6"/>
      <color theme="0"/>
      <name val="Helvetica"/>
      <family val="2"/>
    </font>
    <font>
      <sz val="12"/>
      <color theme="0"/>
      <name val="Calibri"/>
      <family val="2"/>
      <scheme val="minor"/>
    </font>
    <font>
      <sz val="6"/>
      <color theme="1"/>
      <name val="Helvetica"/>
      <family val="2"/>
    </font>
    <font>
      <sz val="6"/>
      <color rgb="FFFF0000"/>
      <name val="Helvetica"/>
      <family val="2"/>
    </font>
    <font>
      <sz val="12"/>
      <color theme="0" tint="-0.249977111117893"/>
      <name val="Calibri"/>
      <family val="2"/>
      <scheme val="minor"/>
    </font>
    <font>
      <sz val="12"/>
      <color rgb="FF00B0F0"/>
      <name val="Helvetica"/>
      <family val="2"/>
    </font>
    <font>
      <sz val="12"/>
      <color rgb="FFFF0000"/>
      <name val="ArialMT"/>
      <family val="2"/>
    </font>
    <font>
      <i/>
      <sz val="12"/>
      <color theme="1"/>
      <name val="ArialMT"/>
    </font>
    <font>
      <b/>
      <i/>
      <sz val="12"/>
      <color theme="1"/>
      <name val="ArialMT"/>
    </font>
    <font>
      <b/>
      <i/>
      <sz val="12"/>
      <color rgb="FFFF0000"/>
      <name val="ArialMT"/>
    </font>
    <font>
      <sz val="12"/>
      <color rgb="FF7030A0"/>
      <name val="ArialMT"/>
    </font>
    <font>
      <b/>
      <i/>
      <sz val="12"/>
      <color rgb="FF7030A0"/>
      <name val="ArialMT"/>
    </font>
    <font>
      <b/>
      <sz val="12"/>
      <color theme="1"/>
      <name val="ArialMT"/>
    </font>
    <font>
      <b/>
      <sz val="12"/>
      <color rgb="FFFF0000"/>
      <name val="ArialMT"/>
    </font>
    <font>
      <b/>
      <sz val="12"/>
      <color rgb="FF7030A0"/>
      <name val="ArialMT"/>
    </font>
    <font>
      <i/>
      <sz val="12"/>
      <color rgb="FFFF0000"/>
      <name val="ArialMT"/>
    </font>
    <font>
      <sz val="12"/>
      <color rgb="FF7030A0"/>
      <name val="ArialMT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8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right"/>
    </xf>
    <xf numFmtId="0" fontId="5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5" fillId="0" borderId="0" xfId="0" applyFont="1" applyAlignment="1">
      <alignment horizontal="right"/>
    </xf>
    <xf numFmtId="0" fontId="5" fillId="0" borderId="0" xfId="0" applyFont="1"/>
    <xf numFmtId="0" fontId="9" fillId="0" borderId="0" xfId="0" applyFont="1"/>
    <xf numFmtId="9" fontId="9" fillId="0" borderId="2" xfId="1" applyFont="1" applyBorder="1" applyAlignment="1">
      <alignment horizontal="left"/>
    </xf>
    <xf numFmtId="9" fontId="9" fillId="0" borderId="3" xfId="1" applyFont="1" applyBorder="1" applyAlignment="1">
      <alignment horizontal="left"/>
    </xf>
    <xf numFmtId="9" fontId="9" fillId="0" borderId="0" xfId="1" applyFont="1" applyBorder="1" applyAlignment="1">
      <alignment horizontal="left"/>
    </xf>
    <xf numFmtId="9" fontId="10" fillId="0" borderId="0" xfId="1" applyFont="1" applyAlignment="1">
      <alignment horizontal="left"/>
    </xf>
    <xf numFmtId="0" fontId="4" fillId="0" borderId="3" xfId="0" applyFont="1" applyBorder="1" applyAlignment="1"/>
    <xf numFmtId="0" fontId="13" fillId="0" borderId="0" xfId="0" applyFont="1" applyBorder="1" applyAlignment="1">
      <alignment vertical="center" wrapText="1"/>
    </xf>
    <xf numFmtId="0" fontId="16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Alignment="1">
      <alignment horizontal="center"/>
    </xf>
    <xf numFmtId="9" fontId="9" fillId="0" borderId="0" xfId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9" fontId="10" fillId="0" borderId="0" xfId="1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/>
    <xf numFmtId="0" fontId="4" fillId="0" borderId="4" xfId="0" quotePrefix="1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9" fontId="9" fillId="0" borderId="4" xfId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5" fillId="0" borderId="4" xfId="0" applyFont="1" applyBorder="1"/>
    <xf numFmtId="9" fontId="10" fillId="0" borderId="4" xfId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9" fontId="4" fillId="0" borderId="0" xfId="1" applyFont="1" applyBorder="1" applyAlignment="1">
      <alignment horizontal="center"/>
    </xf>
    <xf numFmtId="0" fontId="4" fillId="0" borderId="0" xfId="0" applyFont="1" applyBorder="1" applyAlignment="1"/>
    <xf numFmtId="0" fontId="4" fillId="0" borderId="4" xfId="0" applyFont="1" applyBorder="1"/>
    <xf numFmtId="9" fontId="4" fillId="0" borderId="4" xfId="1" applyFont="1" applyBorder="1" applyAlignment="1">
      <alignment horizontal="center"/>
    </xf>
    <xf numFmtId="0" fontId="0" fillId="0" borderId="0" xfId="0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2" fontId="4" fillId="0" borderId="0" xfId="0" applyNumberFormat="1" applyFont="1" applyBorder="1" applyAlignment="1">
      <alignment vertical="center"/>
    </xf>
    <xf numFmtId="2" fontId="4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0" applyFont="1"/>
    <xf numFmtId="0" fontId="28" fillId="0" borderId="0" xfId="0" applyFont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165" fontId="4" fillId="0" borderId="4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0" fillId="0" borderId="0" xfId="0" quotePrefix="1"/>
    <xf numFmtId="0" fontId="30" fillId="0" borderId="0" xfId="0" applyFont="1"/>
    <xf numFmtId="0" fontId="0" fillId="2" borderId="0" xfId="0" applyFill="1"/>
    <xf numFmtId="0" fontId="0" fillId="3" borderId="0" xfId="0" applyFill="1"/>
    <xf numFmtId="0" fontId="31" fillId="0" borderId="0" xfId="0" applyFont="1" applyBorder="1" applyAlignment="1">
      <alignment horizontal="center"/>
    </xf>
    <xf numFmtId="9" fontId="31" fillId="0" borderId="0" xfId="1" applyFont="1" applyBorder="1" applyAlignment="1">
      <alignment horizontal="center"/>
    </xf>
    <xf numFmtId="0" fontId="31" fillId="0" borderId="4" xfId="0" applyFont="1" applyBorder="1" applyAlignment="1">
      <alignment horizontal="center"/>
    </xf>
    <xf numFmtId="9" fontId="31" fillId="0" borderId="4" xfId="1" applyFont="1" applyBorder="1" applyAlignment="1">
      <alignment horizontal="center"/>
    </xf>
    <xf numFmtId="9" fontId="5" fillId="0" borderId="0" xfId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Border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166" fontId="4" fillId="0" borderId="4" xfId="0" applyNumberFormat="1" applyFont="1" applyBorder="1" applyAlignment="1">
      <alignment horizontal="center"/>
    </xf>
    <xf numFmtId="9" fontId="4" fillId="0" borderId="3" xfId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vertical="center"/>
    </xf>
    <xf numFmtId="2" fontId="4" fillId="0" borderId="4" xfId="0" applyNumberFormat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165" fontId="0" fillId="0" borderId="0" xfId="1" applyNumberFormat="1" applyFont="1" applyAlignment="1">
      <alignment horizontal="center"/>
    </xf>
    <xf numFmtId="0" fontId="38" fillId="0" borderId="0" xfId="0" applyFont="1" applyAlignment="1">
      <alignment horizontal="center"/>
    </xf>
    <xf numFmtId="165" fontId="32" fillId="0" borderId="0" xfId="1" applyNumberFormat="1" applyFont="1" applyAlignment="1">
      <alignment horizontal="center"/>
    </xf>
    <xf numFmtId="0" fontId="39" fillId="0" borderId="0" xfId="0" applyFont="1" applyAlignment="1">
      <alignment horizontal="center"/>
    </xf>
    <xf numFmtId="165" fontId="36" fillId="0" borderId="0" xfId="1" applyNumberFormat="1" applyFont="1" applyAlignment="1">
      <alignment horizontal="center"/>
    </xf>
    <xf numFmtId="0" fontId="40" fillId="0" borderId="0" xfId="0" applyFont="1" applyAlignment="1">
      <alignment horizontal="center"/>
    </xf>
    <xf numFmtId="0" fontId="32" fillId="0" borderId="0" xfId="0" applyFont="1"/>
    <xf numFmtId="0" fontId="36" fillId="0" borderId="0" xfId="0" applyFont="1"/>
    <xf numFmtId="0" fontId="42" fillId="0" borderId="0" xfId="0" applyFont="1"/>
    <xf numFmtId="0" fontId="5" fillId="0" borderId="2" xfId="0" applyFont="1" applyBorder="1" applyAlignment="1">
      <alignment vertical="center"/>
    </xf>
    <xf numFmtId="0" fontId="16" fillId="0" borderId="0" xfId="0" applyFont="1" applyAlignment="1">
      <alignment horizontal="center"/>
    </xf>
    <xf numFmtId="0" fontId="4" fillId="0" borderId="0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17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/>
    </xf>
    <xf numFmtId="0" fontId="4" fillId="0" borderId="4" xfId="0" quotePrefix="1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17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</cellXfs>
  <cellStyles count="78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A3FE9-8FD6-CB46-B81E-A2ECF4265B1E}">
  <sheetPr>
    <pageSetUpPr fitToPage="1"/>
  </sheetPr>
  <dimension ref="A1:L9"/>
  <sheetViews>
    <sheetView tabSelected="1" zoomScale="120" zoomScaleNormal="120" workbookViewId="0">
      <selection activeCell="A17" sqref="A17"/>
    </sheetView>
  </sheetViews>
  <sheetFormatPr baseColWidth="10" defaultRowHeight="16"/>
  <cols>
    <col min="1" max="1" width="45.1640625" style="1" customWidth="1"/>
    <col min="2" max="2" width="7.1640625" style="2" customWidth="1"/>
    <col min="3" max="6" width="9" style="1" customWidth="1"/>
    <col min="7" max="7" width="6.1640625" style="1" customWidth="1"/>
    <col min="8" max="9" width="6.1640625" style="1" hidden="1" customWidth="1"/>
    <col min="10" max="10" width="6.1640625" style="1" customWidth="1"/>
    <col min="11" max="11" width="6.1640625" style="2" customWidth="1"/>
    <col min="12" max="12" width="8.33203125" style="21" customWidth="1"/>
    <col min="13" max="13" width="6.1640625" customWidth="1"/>
    <col min="17" max="17" width="12.1640625" bestFit="1" customWidth="1"/>
  </cols>
  <sheetData>
    <row r="1" spans="1:12" ht="17" thickBot="1">
      <c r="C1" s="100" t="s">
        <v>31</v>
      </c>
      <c r="D1" s="100"/>
      <c r="E1" s="100"/>
      <c r="F1" s="100"/>
      <c r="G1" s="42"/>
      <c r="H1" s="42"/>
      <c r="I1" s="42"/>
      <c r="J1" s="42"/>
      <c r="L1" s="55"/>
    </row>
    <row r="2" spans="1:12" ht="19" thickBot="1">
      <c r="A2" s="43"/>
      <c r="B2" s="29" t="s">
        <v>14</v>
      </c>
      <c r="C2" s="100" t="s">
        <v>51</v>
      </c>
      <c r="D2" s="100"/>
      <c r="E2" s="101" t="s">
        <v>29</v>
      </c>
      <c r="F2" s="101"/>
      <c r="G2" s="32" t="s">
        <v>7</v>
      </c>
      <c r="H2" s="52" t="s">
        <v>28</v>
      </c>
      <c r="I2" s="52" t="s">
        <v>27</v>
      </c>
      <c r="J2" s="33" t="s">
        <v>23</v>
      </c>
      <c r="K2" s="32" t="s">
        <v>33</v>
      </c>
      <c r="L2" s="55"/>
    </row>
    <row r="3" spans="1:12">
      <c r="A3" s="102" t="s">
        <v>52</v>
      </c>
      <c r="B3" s="9" t="s">
        <v>1</v>
      </c>
      <c r="C3" s="9">
        <v>107</v>
      </c>
      <c r="D3" s="41">
        <f t="shared" ref="D3:D8" si="0">C3/G3</f>
        <v>0.56020942408376961</v>
      </c>
      <c r="E3" s="9">
        <v>84</v>
      </c>
      <c r="F3" s="41">
        <f t="shared" ref="F3:F8" si="1">E3/G3</f>
        <v>0.43979057591623039</v>
      </c>
      <c r="G3" s="9">
        <f t="shared" ref="G3:G6" si="2">C3+E3</f>
        <v>191</v>
      </c>
      <c r="H3" s="9">
        <f t="shared" ref="H3:H6" si="3">G3-I3</f>
        <v>95.5</v>
      </c>
      <c r="I3" s="2">
        <f>0.5*G3</f>
        <v>95.5</v>
      </c>
      <c r="J3" s="47">
        <f t="shared" ref="J3:J8" si="4">(C3-H3)^2/(H3)+(E3-I3)^2/(I3)</f>
        <v>2.7696335078534031</v>
      </c>
      <c r="K3" s="47">
        <f t="shared" ref="K3:K8" si="5">CHIDIST(J3,1)</f>
        <v>9.6068154625267868E-2</v>
      </c>
    </row>
    <row r="4" spans="1:12" ht="18" customHeight="1">
      <c r="A4" s="102"/>
      <c r="B4" s="9" t="s">
        <v>0</v>
      </c>
      <c r="C4" s="9">
        <v>54</v>
      </c>
      <c r="D4" s="41">
        <f t="shared" si="0"/>
        <v>0.55670103092783507</v>
      </c>
      <c r="E4" s="9">
        <v>43</v>
      </c>
      <c r="F4" s="41">
        <f t="shared" si="1"/>
        <v>0.44329896907216493</v>
      </c>
      <c r="G4" s="9">
        <f t="shared" si="2"/>
        <v>97</v>
      </c>
      <c r="H4" s="9">
        <f t="shared" si="3"/>
        <v>48.5</v>
      </c>
      <c r="I4" s="2">
        <f>0.5*G4</f>
        <v>48.5</v>
      </c>
      <c r="J4" s="47">
        <f t="shared" si="4"/>
        <v>1.2474226804123711</v>
      </c>
      <c r="K4" s="47">
        <f t="shared" si="5"/>
        <v>0.26404530284522271</v>
      </c>
    </row>
    <row r="5" spans="1:12">
      <c r="A5" s="102" t="s">
        <v>53</v>
      </c>
      <c r="B5" s="9" t="s">
        <v>1</v>
      </c>
      <c r="C5" s="9">
        <v>118</v>
      </c>
      <c r="D5" s="41">
        <f t="shared" si="0"/>
        <v>0.46456692913385828</v>
      </c>
      <c r="E5" s="9">
        <v>136</v>
      </c>
      <c r="F5" s="41">
        <f t="shared" si="1"/>
        <v>0.53543307086614178</v>
      </c>
      <c r="G5" s="9">
        <f t="shared" si="2"/>
        <v>254</v>
      </c>
      <c r="H5" s="9">
        <f t="shared" si="3"/>
        <v>127</v>
      </c>
      <c r="I5" s="2">
        <f>0.5*G5</f>
        <v>127</v>
      </c>
      <c r="J5" s="47">
        <f t="shared" si="4"/>
        <v>1.2755905511811023</v>
      </c>
      <c r="K5" s="47">
        <f t="shared" si="5"/>
        <v>0.25872051038771737</v>
      </c>
    </row>
    <row r="6" spans="1:12" ht="17" thickBot="1">
      <c r="A6" s="103"/>
      <c r="B6" s="52" t="s">
        <v>0</v>
      </c>
      <c r="C6" s="52">
        <v>133</v>
      </c>
      <c r="D6" s="44">
        <f t="shared" si="0"/>
        <v>0.50763358778625955</v>
      </c>
      <c r="E6" s="52">
        <v>129</v>
      </c>
      <c r="F6" s="44">
        <f t="shared" si="1"/>
        <v>0.49236641221374045</v>
      </c>
      <c r="G6" s="52">
        <f t="shared" si="2"/>
        <v>262</v>
      </c>
      <c r="H6" s="52">
        <f t="shared" si="3"/>
        <v>131</v>
      </c>
      <c r="I6" s="52">
        <f>0.5*G6</f>
        <v>131</v>
      </c>
      <c r="J6" s="48">
        <f t="shared" si="4"/>
        <v>6.1068702290076333E-2</v>
      </c>
      <c r="K6" s="48">
        <f t="shared" si="5"/>
        <v>0.80481471721325115</v>
      </c>
    </row>
    <row r="7" spans="1:12">
      <c r="A7" s="97" t="s">
        <v>45</v>
      </c>
      <c r="B7" s="9" t="s">
        <v>1</v>
      </c>
      <c r="C7" s="9">
        <f>C3+C5</f>
        <v>225</v>
      </c>
      <c r="D7" s="41">
        <f t="shared" si="0"/>
        <v>0.5056179775280899</v>
      </c>
      <c r="E7" s="9">
        <f>E3+E5</f>
        <v>220</v>
      </c>
      <c r="F7" s="56">
        <f t="shared" si="1"/>
        <v>0.4943820224719101</v>
      </c>
      <c r="G7" s="9">
        <f t="shared" ref="G7:I8" si="6">G3+G5</f>
        <v>445</v>
      </c>
      <c r="H7" s="9">
        <f t="shared" si="6"/>
        <v>222.5</v>
      </c>
      <c r="I7" s="9">
        <f t="shared" si="6"/>
        <v>222.5</v>
      </c>
      <c r="J7" s="47">
        <f t="shared" si="4"/>
        <v>5.6179775280898875E-2</v>
      </c>
      <c r="K7" s="47">
        <f t="shared" si="5"/>
        <v>0.81263915542342291</v>
      </c>
    </row>
    <row r="8" spans="1:12" ht="17" thickBot="1">
      <c r="A8" s="98"/>
      <c r="B8" s="52" t="s">
        <v>0</v>
      </c>
      <c r="C8" s="52">
        <f>C4+C6</f>
        <v>187</v>
      </c>
      <c r="D8" s="44">
        <f t="shared" si="0"/>
        <v>0.52089136490250698</v>
      </c>
      <c r="E8" s="52">
        <f>E4+E6</f>
        <v>172</v>
      </c>
      <c r="F8" s="57">
        <f t="shared" si="1"/>
        <v>0.47910863509749302</v>
      </c>
      <c r="G8" s="52">
        <f t="shared" si="6"/>
        <v>359</v>
      </c>
      <c r="H8" s="52">
        <f t="shared" si="6"/>
        <v>179.5</v>
      </c>
      <c r="I8" s="52">
        <f t="shared" si="6"/>
        <v>179.5</v>
      </c>
      <c r="J8" s="48">
        <f t="shared" si="4"/>
        <v>0.62674094707520889</v>
      </c>
      <c r="K8" s="48">
        <f t="shared" si="5"/>
        <v>0.42855328197544945</v>
      </c>
    </row>
    <row r="9" spans="1:12" ht="59" customHeight="1" thickBot="1">
      <c r="A9" s="99" t="s">
        <v>48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/>
    </row>
  </sheetData>
  <mergeCells count="7">
    <mergeCell ref="A7:A8"/>
    <mergeCell ref="A9:K9"/>
    <mergeCell ref="C1:F1"/>
    <mergeCell ref="C2:D2"/>
    <mergeCell ref="E2:F2"/>
    <mergeCell ref="A3:A4"/>
    <mergeCell ref="A5:A6"/>
  </mergeCells>
  <pageMargins left="0.7" right="0.7" top="0.75" bottom="0.75" header="0.3" footer="0.3"/>
  <pageSetup scale="7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B70DC-7129-584C-B4EB-D69AA456E521}">
  <sheetPr>
    <pageSetUpPr fitToPage="1"/>
  </sheetPr>
  <dimension ref="A1:Q31"/>
  <sheetViews>
    <sheetView topLeftCell="A3" zoomScale="160" zoomScaleNormal="160" workbookViewId="0">
      <selection activeCell="A32" sqref="A32"/>
    </sheetView>
  </sheetViews>
  <sheetFormatPr baseColWidth="10" defaultRowHeight="16"/>
  <cols>
    <col min="1" max="1" width="53.1640625" style="1" customWidth="1"/>
    <col min="2" max="2" width="7.1640625" style="2" customWidth="1"/>
    <col min="3" max="9" width="8.6640625" style="1" customWidth="1"/>
    <col min="10" max="10" width="5.5" style="1" customWidth="1"/>
    <col min="11" max="11" width="6.5" style="2" customWidth="1"/>
    <col min="12" max="12" width="5.1640625" style="53" customWidth="1"/>
    <col min="13" max="13" width="6.1640625" customWidth="1"/>
    <col min="17" max="17" width="12.1640625" bestFit="1" customWidth="1"/>
  </cols>
  <sheetData>
    <row r="1" spans="1:13">
      <c r="A1" s="20" t="s">
        <v>25</v>
      </c>
    </row>
    <row r="2" spans="1:13" ht="17" thickBot="1">
      <c r="C2" s="100" t="s">
        <v>31</v>
      </c>
      <c r="D2" s="100"/>
      <c r="E2" s="100"/>
      <c r="F2" s="100"/>
      <c r="G2" s="42"/>
      <c r="H2" s="42"/>
      <c r="I2" s="42"/>
      <c r="J2" s="42"/>
      <c r="L2" s="60"/>
    </row>
    <row r="3" spans="1:13" ht="19" thickBot="1">
      <c r="A3" s="43"/>
      <c r="B3" s="29" t="s">
        <v>14</v>
      </c>
      <c r="C3" s="100" t="s">
        <v>26</v>
      </c>
      <c r="D3" s="100"/>
      <c r="E3" s="101" t="s">
        <v>29</v>
      </c>
      <c r="F3" s="101"/>
      <c r="G3" s="32" t="s">
        <v>7</v>
      </c>
      <c r="H3" s="39" t="s">
        <v>28</v>
      </c>
      <c r="I3" s="39" t="s">
        <v>27</v>
      </c>
      <c r="J3" s="33" t="s">
        <v>23</v>
      </c>
      <c r="K3" s="32" t="s">
        <v>33</v>
      </c>
      <c r="L3" s="60"/>
    </row>
    <row r="4" spans="1:13">
      <c r="A4" s="102" t="s">
        <v>54</v>
      </c>
      <c r="B4" s="9" t="s">
        <v>1</v>
      </c>
      <c r="C4" s="9">
        <v>18</v>
      </c>
      <c r="D4" s="41">
        <f t="shared" ref="D4:D14" si="0">C4/G4</f>
        <v>0.81818181818181823</v>
      </c>
      <c r="E4" s="40">
        <v>4</v>
      </c>
      <c r="F4" s="69">
        <f t="shared" ref="F4:F5" si="1">E4/G4</f>
        <v>0.18181818181818182</v>
      </c>
      <c r="G4" s="9">
        <f t="shared" ref="G4:G14" si="2">C4+E4</f>
        <v>22</v>
      </c>
      <c r="H4" s="70">
        <f>G4-I4</f>
        <v>18.11469374</v>
      </c>
      <c r="I4" s="70">
        <f>0.5*L5*G4</f>
        <v>3.8853062599999997</v>
      </c>
      <c r="J4" s="47">
        <f>(C4-H4)^2/(H4)+(E4-I4)^2/(I4)</f>
        <v>4.1119313602364952E-3</v>
      </c>
      <c r="K4" s="47">
        <f>CHIDIST(J4,1)</f>
        <v>0.94887121885130077</v>
      </c>
      <c r="L4" s="60" t="s">
        <v>34</v>
      </c>
      <c r="M4" s="54"/>
    </row>
    <row r="5" spans="1:13">
      <c r="A5" s="102"/>
      <c r="B5" s="9" t="s">
        <v>0</v>
      </c>
      <c r="C5" s="9">
        <v>15</v>
      </c>
      <c r="D5" s="41">
        <f t="shared" si="0"/>
        <v>0.75</v>
      </c>
      <c r="E5" s="40">
        <v>5</v>
      </c>
      <c r="F5" s="69">
        <f t="shared" si="1"/>
        <v>0.25</v>
      </c>
      <c r="G5" s="9">
        <f t="shared" si="2"/>
        <v>20</v>
      </c>
      <c r="H5" s="70">
        <f t="shared" ref="H5:H17" si="3">G5-I5</f>
        <v>16.467903400000001</v>
      </c>
      <c r="I5" s="70">
        <f>0.5*L5*G5</f>
        <v>3.5320966</v>
      </c>
      <c r="J5" s="47">
        <f t="shared" ref="J5:J22" si="4">(C5-H5)^2/(H5)+(E5-I5)^2/(I5)</f>
        <v>0.74089056637199435</v>
      </c>
      <c r="K5" s="47">
        <f t="shared" ref="K5:K23" si="5">CHIDIST(J5,1)</f>
        <v>0.38937574723425195</v>
      </c>
      <c r="L5" s="60">
        <f>0.35320966</f>
        <v>0.35320965999999998</v>
      </c>
      <c r="M5" s="54"/>
    </row>
    <row r="6" spans="1:13">
      <c r="A6" s="102" t="s">
        <v>9</v>
      </c>
      <c r="B6" s="9" t="s">
        <v>1</v>
      </c>
      <c r="C6" s="9">
        <v>20</v>
      </c>
      <c r="D6" s="41">
        <f t="shared" ref="D6:D7" si="6">C6/G6</f>
        <v>0.66666666666666663</v>
      </c>
      <c r="E6" s="9">
        <v>10</v>
      </c>
      <c r="F6" s="41">
        <f t="shared" ref="F6:F7" si="7">E6/G6</f>
        <v>0.33333333333333331</v>
      </c>
      <c r="G6" s="9">
        <f t="shared" ref="G6:G7" si="8">C6+E6</f>
        <v>30</v>
      </c>
      <c r="H6" s="70">
        <f>G6-I6</f>
        <v>20.2981449</v>
      </c>
      <c r="I6" s="70">
        <f>0.5*L7*G6</f>
        <v>9.7018550999999995</v>
      </c>
      <c r="J6" s="47">
        <f>(C6-H6)^2/(H6)+(E6-I6)^2/(I6)</f>
        <v>1.3541441312108696E-2</v>
      </c>
      <c r="K6" s="47">
        <f>CHIDIST(J6,1)</f>
        <v>0.90736113410589936</v>
      </c>
      <c r="L6" s="60" t="s">
        <v>34</v>
      </c>
      <c r="M6" s="54"/>
    </row>
    <row r="7" spans="1:13">
      <c r="A7" s="102"/>
      <c r="B7" s="9" t="s">
        <v>0</v>
      </c>
      <c r="C7" s="9">
        <v>31</v>
      </c>
      <c r="D7" s="41">
        <f t="shared" si="6"/>
        <v>0.83783783783783783</v>
      </c>
      <c r="E7" s="9">
        <v>6</v>
      </c>
      <c r="F7" s="41">
        <f t="shared" si="7"/>
        <v>0.16216216216216217</v>
      </c>
      <c r="G7" s="9">
        <f t="shared" si="8"/>
        <v>37</v>
      </c>
      <c r="H7" s="70">
        <f t="shared" ref="H7" si="9">G7-I7</f>
        <v>25.034378709999999</v>
      </c>
      <c r="I7" s="70">
        <f>0.5*L7*G7</f>
        <v>11.96562129</v>
      </c>
      <c r="J7" s="47">
        <f t="shared" ref="J7" si="10">(C7-H7)^2/(H7)+(E7-I7)^2/(I7)</f>
        <v>4.3958312580646783</v>
      </c>
      <c r="K7" s="47">
        <f t="shared" ref="K7" si="11">CHIDIST(J7,1)</f>
        <v>3.6026892860934946E-2</v>
      </c>
      <c r="L7" s="60">
        <f>1-0.35320966</f>
        <v>0.64679034000000002</v>
      </c>
      <c r="M7" s="54"/>
    </row>
    <row r="8" spans="1:13">
      <c r="A8" s="102" t="s">
        <v>10</v>
      </c>
      <c r="B8" s="9" t="s">
        <v>1</v>
      </c>
      <c r="C8" s="9">
        <v>14</v>
      </c>
      <c r="D8" s="41">
        <f t="shared" si="0"/>
        <v>0.73684210526315785</v>
      </c>
      <c r="E8" s="9">
        <v>5</v>
      </c>
      <c r="F8" s="41">
        <f>E8/G8</f>
        <v>0.26315789473684209</v>
      </c>
      <c r="G8" s="9">
        <f t="shared" si="2"/>
        <v>19</v>
      </c>
      <c r="H8" s="70">
        <f t="shared" si="3"/>
        <v>14.25</v>
      </c>
      <c r="I8" s="70">
        <f t="shared" ref="I8:I13" si="12">0.25*G8</f>
        <v>4.75</v>
      </c>
      <c r="J8" s="47">
        <f t="shared" si="4"/>
        <v>1.7543859649122806E-2</v>
      </c>
      <c r="K8" s="47">
        <f t="shared" si="5"/>
        <v>0.8946258095467281</v>
      </c>
      <c r="L8" s="60"/>
      <c r="M8" s="54"/>
    </row>
    <row r="9" spans="1:13">
      <c r="A9" s="102"/>
      <c r="B9" s="9" t="s">
        <v>0</v>
      </c>
      <c r="C9" s="9">
        <v>19</v>
      </c>
      <c r="D9" s="41">
        <f t="shared" si="0"/>
        <v>0.86363636363636365</v>
      </c>
      <c r="E9" s="9">
        <v>3</v>
      </c>
      <c r="F9" s="41">
        <f>E9/G9</f>
        <v>0.13636363636363635</v>
      </c>
      <c r="G9" s="9">
        <f t="shared" si="2"/>
        <v>22</v>
      </c>
      <c r="H9" s="70">
        <f t="shared" si="3"/>
        <v>16.5</v>
      </c>
      <c r="I9" s="70">
        <f t="shared" si="12"/>
        <v>5.5</v>
      </c>
      <c r="J9" s="47">
        <f t="shared" si="4"/>
        <v>1.5151515151515151</v>
      </c>
      <c r="K9" s="47">
        <f t="shared" si="5"/>
        <v>0.21835469056590165</v>
      </c>
      <c r="L9" s="60"/>
    </row>
    <row r="10" spans="1:13">
      <c r="A10" s="102" t="s">
        <v>11</v>
      </c>
      <c r="B10" s="9" t="s">
        <v>1</v>
      </c>
      <c r="C10" s="9">
        <v>22</v>
      </c>
      <c r="D10" s="41">
        <f t="shared" si="0"/>
        <v>0.70967741935483875</v>
      </c>
      <c r="E10" s="9">
        <v>9</v>
      </c>
      <c r="F10" s="41">
        <f t="shared" ref="F10:F23" si="13">E10/G10</f>
        <v>0.29032258064516131</v>
      </c>
      <c r="G10" s="9">
        <f t="shared" si="2"/>
        <v>31</v>
      </c>
      <c r="H10" s="70">
        <f t="shared" si="3"/>
        <v>23.25</v>
      </c>
      <c r="I10" s="70">
        <f t="shared" si="12"/>
        <v>7.75</v>
      </c>
      <c r="J10" s="47">
        <f t="shared" si="4"/>
        <v>0.26881720430107525</v>
      </c>
      <c r="K10" s="47">
        <f t="shared" si="5"/>
        <v>0.6041263073291685</v>
      </c>
      <c r="L10" s="60"/>
    </row>
    <row r="11" spans="1:13">
      <c r="A11" s="102"/>
      <c r="B11" s="9" t="s">
        <v>0</v>
      </c>
      <c r="C11" s="9">
        <v>20</v>
      </c>
      <c r="D11" s="41">
        <f t="shared" si="0"/>
        <v>0.8</v>
      </c>
      <c r="E11" s="9">
        <v>5</v>
      </c>
      <c r="F11" s="41">
        <f t="shared" si="13"/>
        <v>0.2</v>
      </c>
      <c r="G11" s="9">
        <f t="shared" si="2"/>
        <v>25</v>
      </c>
      <c r="H11" s="70">
        <f t="shared" si="3"/>
        <v>18.75</v>
      </c>
      <c r="I11" s="70">
        <f t="shared" si="12"/>
        <v>6.25</v>
      </c>
      <c r="J11" s="47">
        <f t="shared" si="4"/>
        <v>0.33333333333333331</v>
      </c>
      <c r="K11" s="47">
        <f t="shared" si="5"/>
        <v>0.56370286165077299</v>
      </c>
      <c r="L11" s="60"/>
    </row>
    <row r="12" spans="1:13">
      <c r="A12" s="102" t="s">
        <v>12</v>
      </c>
      <c r="B12" s="9" t="s">
        <v>1</v>
      </c>
      <c r="C12" s="9">
        <v>34</v>
      </c>
      <c r="D12" s="41">
        <f t="shared" si="0"/>
        <v>0.87179487179487181</v>
      </c>
      <c r="E12" s="9">
        <v>5</v>
      </c>
      <c r="F12" s="41">
        <f t="shared" si="13"/>
        <v>0.12820512820512819</v>
      </c>
      <c r="G12" s="9">
        <f t="shared" si="2"/>
        <v>39</v>
      </c>
      <c r="H12" s="71">
        <f t="shared" si="3"/>
        <v>29.25</v>
      </c>
      <c r="I12" s="71">
        <f t="shared" si="12"/>
        <v>9.75</v>
      </c>
      <c r="J12" s="47">
        <f t="shared" si="4"/>
        <v>3.0854700854700856</v>
      </c>
      <c r="K12" s="47">
        <f t="shared" si="5"/>
        <v>7.8994435833722398E-2</v>
      </c>
      <c r="L12" s="60"/>
    </row>
    <row r="13" spans="1:13">
      <c r="A13" s="104"/>
      <c r="B13" s="59" t="s">
        <v>0</v>
      </c>
      <c r="C13" s="59">
        <v>11</v>
      </c>
      <c r="D13" s="75">
        <f t="shared" si="0"/>
        <v>0.84615384615384615</v>
      </c>
      <c r="E13" s="59">
        <v>2</v>
      </c>
      <c r="F13" s="75">
        <f t="shared" si="13"/>
        <v>0.15384615384615385</v>
      </c>
      <c r="G13" s="59">
        <f t="shared" si="2"/>
        <v>13</v>
      </c>
      <c r="H13" s="76">
        <f t="shared" si="3"/>
        <v>9.75</v>
      </c>
      <c r="I13" s="76">
        <f t="shared" si="12"/>
        <v>3.25</v>
      </c>
      <c r="J13" s="77">
        <f t="shared" si="4"/>
        <v>0.64102564102564108</v>
      </c>
      <c r="K13" s="77">
        <f t="shared" si="5"/>
        <v>0.42333964158244358</v>
      </c>
      <c r="L13" s="60"/>
    </row>
    <row r="14" spans="1:13">
      <c r="A14" s="102" t="s">
        <v>46</v>
      </c>
      <c r="B14" s="9" t="s">
        <v>1</v>
      </c>
      <c r="C14" s="9">
        <v>107</v>
      </c>
      <c r="D14" s="41">
        <f t="shared" si="0"/>
        <v>0.56020942408376961</v>
      </c>
      <c r="E14" s="9">
        <v>84</v>
      </c>
      <c r="F14" s="41">
        <f t="shared" si="13"/>
        <v>0.43979057591623039</v>
      </c>
      <c r="G14" s="9">
        <f t="shared" si="2"/>
        <v>191</v>
      </c>
      <c r="H14" s="72">
        <f t="shared" si="3"/>
        <v>95.5</v>
      </c>
      <c r="I14" s="73">
        <f>0.5*G14</f>
        <v>95.5</v>
      </c>
      <c r="J14" s="47">
        <f t="shared" si="4"/>
        <v>2.7696335078534031</v>
      </c>
      <c r="K14" s="47">
        <f t="shared" si="5"/>
        <v>9.6068154625267868E-2</v>
      </c>
      <c r="L14" s="60"/>
    </row>
    <row r="15" spans="1:13">
      <c r="A15" s="102"/>
      <c r="B15" s="9" t="s">
        <v>0</v>
      </c>
      <c r="C15" s="9">
        <v>54</v>
      </c>
      <c r="D15" s="41">
        <f t="shared" ref="D15:D23" si="14">C15/G15</f>
        <v>0.55670103092783507</v>
      </c>
      <c r="E15" s="9">
        <v>43</v>
      </c>
      <c r="F15" s="41">
        <f t="shared" si="13"/>
        <v>0.44329896907216493</v>
      </c>
      <c r="G15" s="9">
        <f t="shared" ref="G15:G17" si="15">C15+E15</f>
        <v>97</v>
      </c>
      <c r="H15" s="72">
        <f t="shared" si="3"/>
        <v>48.5</v>
      </c>
      <c r="I15" s="73">
        <f>0.5*G15</f>
        <v>48.5</v>
      </c>
      <c r="J15" s="47">
        <f t="shared" si="4"/>
        <v>1.2474226804123711</v>
      </c>
      <c r="K15" s="47">
        <f t="shared" si="5"/>
        <v>0.26404530284522271</v>
      </c>
      <c r="L15" s="60"/>
    </row>
    <row r="16" spans="1:13">
      <c r="A16" s="102" t="s">
        <v>47</v>
      </c>
      <c r="B16" s="9" t="s">
        <v>1</v>
      </c>
      <c r="C16" s="9">
        <v>118</v>
      </c>
      <c r="D16" s="41">
        <f t="shared" si="14"/>
        <v>0.46456692913385828</v>
      </c>
      <c r="E16" s="9">
        <v>136</v>
      </c>
      <c r="F16" s="41">
        <f t="shared" si="13"/>
        <v>0.53543307086614178</v>
      </c>
      <c r="G16" s="9">
        <f t="shared" si="15"/>
        <v>254</v>
      </c>
      <c r="H16" s="72">
        <f t="shared" si="3"/>
        <v>127</v>
      </c>
      <c r="I16" s="73">
        <f>0.5*G16</f>
        <v>127</v>
      </c>
      <c r="J16" s="47">
        <f t="shared" si="4"/>
        <v>1.2755905511811023</v>
      </c>
      <c r="K16" s="47">
        <f t="shared" si="5"/>
        <v>0.25872051038771737</v>
      </c>
      <c r="L16" s="60"/>
    </row>
    <row r="17" spans="1:17" ht="17" thickBot="1">
      <c r="A17" s="103"/>
      <c r="B17" s="39" t="s">
        <v>0</v>
      </c>
      <c r="C17" s="46">
        <v>133</v>
      </c>
      <c r="D17" s="44">
        <f t="shared" si="14"/>
        <v>0.50763358778625955</v>
      </c>
      <c r="E17" s="46">
        <v>129</v>
      </c>
      <c r="F17" s="44">
        <f t="shared" si="13"/>
        <v>0.49236641221374045</v>
      </c>
      <c r="G17" s="46">
        <f t="shared" si="15"/>
        <v>262</v>
      </c>
      <c r="H17" s="74">
        <f t="shared" si="3"/>
        <v>131</v>
      </c>
      <c r="I17" s="74">
        <f>0.5*G17</f>
        <v>131</v>
      </c>
      <c r="J17" s="48">
        <f t="shared" si="4"/>
        <v>6.1068702290076333E-2</v>
      </c>
      <c r="K17" s="48">
        <f t="shared" si="5"/>
        <v>0.80481471721325115</v>
      </c>
      <c r="L17" s="60"/>
    </row>
    <row r="18" spans="1:17">
      <c r="A18" s="97" t="s">
        <v>32</v>
      </c>
      <c r="B18" s="9" t="s">
        <v>1</v>
      </c>
      <c r="C18" s="9">
        <f>C4+C6+C8+C10+C12</f>
        <v>108</v>
      </c>
      <c r="D18" s="41">
        <f t="shared" si="14"/>
        <v>0.76595744680851063</v>
      </c>
      <c r="E18" s="9">
        <f>E4+E6+E8+E10+E12</f>
        <v>33</v>
      </c>
      <c r="F18" s="56">
        <f t="shared" si="13"/>
        <v>0.23404255319148937</v>
      </c>
      <c r="G18" s="9">
        <f t="shared" ref="G18:I19" si="16">G4+G6+G8+G10+G12</f>
        <v>141</v>
      </c>
      <c r="H18" s="9">
        <f t="shared" si="16"/>
        <v>105.16283864</v>
      </c>
      <c r="I18" s="9">
        <f t="shared" si="16"/>
        <v>35.837161359999996</v>
      </c>
      <c r="J18" s="50">
        <f>(C18-H18)^2/(H18)+(E18-I18)^2/(I18)</f>
        <v>0.30115583555409448</v>
      </c>
      <c r="K18" s="49">
        <f t="shared" si="5"/>
        <v>0.58315872145647996</v>
      </c>
      <c r="L18" s="60"/>
    </row>
    <row r="19" spans="1:17" ht="17" thickBot="1">
      <c r="A19" s="98"/>
      <c r="B19" s="46" t="s">
        <v>0</v>
      </c>
      <c r="C19" s="46">
        <f>C5+C7+C9+C11+C13</f>
        <v>96</v>
      </c>
      <c r="D19" s="44">
        <f t="shared" si="14"/>
        <v>0.82051282051282048</v>
      </c>
      <c r="E19" s="58">
        <f>E5+E7+E9+E11+E13</f>
        <v>21</v>
      </c>
      <c r="F19" s="57">
        <f t="shared" si="13"/>
        <v>0.17948717948717949</v>
      </c>
      <c r="G19" s="58">
        <f>G5+G7+G9+G11+G13</f>
        <v>117</v>
      </c>
      <c r="H19" s="46">
        <f t="shared" si="16"/>
        <v>86.502282109999996</v>
      </c>
      <c r="I19" s="58">
        <f t="shared" si="16"/>
        <v>30.497717890000001</v>
      </c>
      <c r="J19" s="48">
        <f>(C19-H19)^2/(H19)+(E19-I19)^2/(I19)</f>
        <v>4.0006401114714514</v>
      </c>
      <c r="K19" s="48">
        <f t="shared" si="5"/>
        <v>4.5482987233976389E-2</v>
      </c>
    </row>
    <row r="20" spans="1:17">
      <c r="A20" s="97" t="s">
        <v>50</v>
      </c>
      <c r="B20" s="9" t="s">
        <v>1</v>
      </c>
      <c r="C20" s="9">
        <f>C14+C16</f>
        <v>225</v>
      </c>
      <c r="D20" s="41">
        <f t="shared" ref="D20:D21" si="17">C20/G20</f>
        <v>0.5056179775280899</v>
      </c>
      <c r="E20" s="9">
        <f>E14+E16</f>
        <v>220</v>
      </c>
      <c r="F20" s="56">
        <f t="shared" ref="F20:F21" si="18">E20/G20</f>
        <v>0.4943820224719101</v>
      </c>
      <c r="G20" s="9">
        <f t="shared" ref="G20:I21" si="19">G14+G16</f>
        <v>445</v>
      </c>
      <c r="H20" s="9">
        <f t="shared" si="19"/>
        <v>222.5</v>
      </c>
      <c r="I20" s="9">
        <f t="shared" si="19"/>
        <v>222.5</v>
      </c>
      <c r="J20" s="47">
        <f t="shared" ref="J20:J21" si="20">(C20-H20)^2/(H20)+(E20-I20)^2/(I20)</f>
        <v>5.6179775280898875E-2</v>
      </c>
      <c r="K20" s="47">
        <f t="shared" ref="K20:K21" si="21">CHIDIST(J20,1)</f>
        <v>0.81263915542342291</v>
      </c>
    </row>
    <row r="21" spans="1:17" ht="17" thickBot="1">
      <c r="A21" s="98"/>
      <c r="B21" s="46" t="s">
        <v>0</v>
      </c>
      <c r="C21" s="46">
        <f>C15+C17</f>
        <v>187</v>
      </c>
      <c r="D21" s="44">
        <f t="shared" si="17"/>
        <v>0.52089136490250698</v>
      </c>
      <c r="E21" s="46">
        <f>E15+E17</f>
        <v>172</v>
      </c>
      <c r="F21" s="57">
        <f t="shared" si="18"/>
        <v>0.47910863509749302</v>
      </c>
      <c r="G21" s="46">
        <f t="shared" si="19"/>
        <v>359</v>
      </c>
      <c r="H21" s="46">
        <f t="shared" si="19"/>
        <v>179.5</v>
      </c>
      <c r="I21" s="46">
        <f t="shared" si="19"/>
        <v>179.5</v>
      </c>
      <c r="J21" s="48">
        <f t="shared" si="20"/>
        <v>0.62674094707520889</v>
      </c>
      <c r="K21" s="48">
        <f t="shared" si="21"/>
        <v>0.42855328197544945</v>
      </c>
    </row>
    <row r="22" spans="1:17">
      <c r="A22" s="97" t="s">
        <v>30</v>
      </c>
      <c r="B22" s="9" t="s">
        <v>1</v>
      </c>
      <c r="C22" s="65">
        <f>C4+C6+C8+C10+C12+C14+C16</f>
        <v>333</v>
      </c>
      <c r="D22" s="66">
        <f t="shared" si="14"/>
        <v>0.56825938566552903</v>
      </c>
      <c r="E22" s="65">
        <f>E4+E6+E8+E10+E12+E14+E16</f>
        <v>253</v>
      </c>
      <c r="F22" s="66">
        <f t="shared" si="13"/>
        <v>0.43174061433447097</v>
      </c>
      <c r="G22" s="65">
        <f t="shared" ref="G22:I23" si="22">G4+G6+G8+G10+G12+G14+G16</f>
        <v>586</v>
      </c>
      <c r="H22" s="9">
        <f t="shared" si="22"/>
        <v>327.66283864000002</v>
      </c>
      <c r="I22" s="71">
        <f t="shared" si="22"/>
        <v>258.33716135999998</v>
      </c>
      <c r="J22" s="47">
        <f t="shared" si="4"/>
        <v>0.19719877364457022</v>
      </c>
      <c r="K22" s="47">
        <f t="shared" si="5"/>
        <v>0.65699147983851081</v>
      </c>
    </row>
    <row r="23" spans="1:17" ht="17" thickBot="1">
      <c r="A23" s="98"/>
      <c r="B23" s="39" t="s">
        <v>0</v>
      </c>
      <c r="C23" s="67">
        <f>C5+C7+C9+C11+C13+C15+C17</f>
        <v>283</v>
      </c>
      <c r="D23" s="68">
        <f t="shared" si="14"/>
        <v>0.59453781512605042</v>
      </c>
      <c r="E23" s="67">
        <f>E5+E7+E9+E11+E13+E15+E17</f>
        <v>193</v>
      </c>
      <c r="F23" s="68">
        <f t="shared" si="13"/>
        <v>0.40546218487394958</v>
      </c>
      <c r="G23" s="67">
        <f t="shared" si="22"/>
        <v>476</v>
      </c>
      <c r="H23" s="46">
        <f t="shared" si="22"/>
        <v>266.00228211000001</v>
      </c>
      <c r="I23" s="78">
        <f t="shared" si="22"/>
        <v>209.99771788999999</v>
      </c>
      <c r="J23" s="51">
        <f>(C23-H23)^2/(H23)+(E23-I23)^2/(I23)</f>
        <v>2.4620011361048606</v>
      </c>
      <c r="K23" s="48">
        <f t="shared" si="5"/>
        <v>0.11663010934574954</v>
      </c>
    </row>
    <row r="24" spans="1:17" ht="130" customHeight="1" thickBot="1">
      <c r="A24" s="99" t="s">
        <v>49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54"/>
    </row>
    <row r="25" spans="1:17">
      <c r="Q25" s="45"/>
    </row>
    <row r="28" spans="1:17">
      <c r="A28" s="102" t="s">
        <v>55</v>
      </c>
      <c r="B28" s="9" t="s">
        <v>1</v>
      </c>
      <c r="C28" s="9">
        <f>C4+C6</f>
        <v>38</v>
      </c>
      <c r="D28" s="41">
        <f t="shared" ref="D28:D29" si="23">C28/G28</f>
        <v>0.73076923076923073</v>
      </c>
      <c r="E28" s="9">
        <f>E4+E6</f>
        <v>14</v>
      </c>
      <c r="F28" s="41">
        <f t="shared" ref="F28:F29" si="24">E28/G28</f>
        <v>0.26923076923076922</v>
      </c>
      <c r="G28" s="9">
        <f t="shared" ref="G28:G29" si="25">C28+E28</f>
        <v>52</v>
      </c>
      <c r="H28" s="2">
        <f>G28-I28</f>
        <v>42.816548840000003</v>
      </c>
      <c r="I28" s="2">
        <f>0.5*L29*G28</f>
        <v>9.1834511599999988</v>
      </c>
      <c r="J28" s="47">
        <f>(C28-H28)^2/(H28)+(E28-I28)^2/(I28)</f>
        <v>3.0680165714067105</v>
      </c>
      <c r="K28" s="47">
        <f>CHIDIST(J28,1)</f>
        <v>7.9846836338207619E-2</v>
      </c>
      <c r="L28" s="60" t="s">
        <v>34</v>
      </c>
    </row>
    <row r="29" spans="1:17">
      <c r="A29" s="102"/>
      <c r="B29" s="9" t="s">
        <v>0</v>
      </c>
      <c r="C29" s="9">
        <f>C5+C7</f>
        <v>46</v>
      </c>
      <c r="D29" s="41">
        <f t="shared" si="23"/>
        <v>0.80701754385964908</v>
      </c>
      <c r="E29" s="9">
        <f>E5+E7</f>
        <v>11</v>
      </c>
      <c r="F29" s="41">
        <f t="shared" si="24"/>
        <v>0.19298245614035087</v>
      </c>
      <c r="G29" s="9">
        <f t="shared" si="25"/>
        <v>57</v>
      </c>
      <c r="H29" s="2">
        <f t="shared" ref="H29" si="26">G29-I29</f>
        <v>46.933524689999999</v>
      </c>
      <c r="I29" s="2">
        <f>0.5*L29*G29</f>
        <v>10.06647531</v>
      </c>
      <c r="J29" s="47">
        <f t="shared" ref="J29" si="27">(C29-H29)^2/(H29)+(E29-I29)^2/(I29)</f>
        <v>0.10513949086931029</v>
      </c>
      <c r="K29" s="47">
        <f t="shared" ref="K29" si="28">CHIDIST(J29,1)</f>
        <v>0.74574710317850323</v>
      </c>
      <c r="L29" s="60">
        <f>0.35320966</f>
        <v>0.35320965999999998</v>
      </c>
    </row>
    <row r="31" spans="1:17">
      <c r="A31" s="1" t="s">
        <v>79</v>
      </c>
    </row>
  </sheetData>
  <mergeCells count="15">
    <mergeCell ref="A28:A29"/>
    <mergeCell ref="E3:F3"/>
    <mergeCell ref="C3:D3"/>
    <mergeCell ref="A22:A23"/>
    <mergeCell ref="C2:F2"/>
    <mergeCell ref="A24:K24"/>
    <mergeCell ref="A4:A5"/>
    <mergeCell ref="A8:A9"/>
    <mergeCell ref="A10:A11"/>
    <mergeCell ref="A12:A13"/>
    <mergeCell ref="A14:A15"/>
    <mergeCell ref="A16:A17"/>
    <mergeCell ref="A20:A21"/>
    <mergeCell ref="A18:A19"/>
    <mergeCell ref="A6:A7"/>
  </mergeCells>
  <pageMargins left="0.7" right="0.7" top="0.75" bottom="0.75" header="0.3" footer="0.3"/>
  <pageSetup scale="94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8"/>
  <sheetViews>
    <sheetView zoomScale="170" zoomScaleNormal="170" workbookViewId="0">
      <selection activeCell="L4" sqref="L4"/>
    </sheetView>
  </sheetViews>
  <sheetFormatPr baseColWidth="10" defaultRowHeight="16"/>
  <cols>
    <col min="1" max="1" width="32.5" style="1" customWidth="1"/>
    <col min="2" max="2" width="7.1640625" style="2" customWidth="1"/>
    <col min="3" max="10" width="5.5" style="1" customWidth="1"/>
    <col min="11" max="11" width="6.5" style="2" customWidth="1"/>
    <col min="12" max="12" width="6.1640625" style="21" customWidth="1"/>
    <col min="13" max="13" width="6.1640625" customWidth="1"/>
    <col min="17" max="17" width="12.1640625" bestFit="1" customWidth="1"/>
  </cols>
  <sheetData>
    <row r="1" spans="1:16">
      <c r="A1" s="20" t="s">
        <v>25</v>
      </c>
    </row>
    <row r="2" spans="1:16" ht="17" thickBot="1">
      <c r="C2" s="100" t="s">
        <v>15</v>
      </c>
      <c r="D2" s="100"/>
      <c r="E2" s="100"/>
      <c r="F2" s="100"/>
      <c r="G2" s="100"/>
      <c r="H2" s="100"/>
      <c r="I2" s="100"/>
      <c r="J2" s="100"/>
    </row>
    <row r="3" spans="1:16" ht="19" thickBot="1">
      <c r="A3" s="28" t="s">
        <v>13</v>
      </c>
      <c r="B3" s="29" t="s">
        <v>14</v>
      </c>
      <c r="C3" s="30" t="s">
        <v>2</v>
      </c>
      <c r="D3" s="31" t="s">
        <v>3</v>
      </c>
      <c r="E3" s="30" t="s">
        <v>4</v>
      </c>
      <c r="F3" s="31" t="s">
        <v>3</v>
      </c>
      <c r="G3" s="30" t="s">
        <v>5</v>
      </c>
      <c r="H3" s="31" t="s">
        <v>3</v>
      </c>
      <c r="I3" s="30" t="s">
        <v>6</v>
      </c>
      <c r="J3" s="31" t="s">
        <v>3</v>
      </c>
      <c r="K3" s="32" t="s">
        <v>7</v>
      </c>
      <c r="L3" s="33" t="s">
        <v>23</v>
      </c>
      <c r="M3" s="28" t="s">
        <v>21</v>
      </c>
      <c r="N3" s="23"/>
    </row>
    <row r="4" spans="1:16">
      <c r="A4" s="102" t="s">
        <v>9</v>
      </c>
      <c r="B4" s="9" t="s">
        <v>1</v>
      </c>
      <c r="C4" s="9">
        <v>5</v>
      </c>
      <c r="D4" s="24">
        <f t="shared" ref="D4:D13" si="0">C4/K4</f>
        <v>0.16666666666666666</v>
      </c>
      <c r="E4" s="9">
        <v>9</v>
      </c>
      <c r="F4" s="24">
        <f t="shared" ref="F4:F11" si="1">E4/K4</f>
        <v>0.3</v>
      </c>
      <c r="G4" s="9">
        <v>6</v>
      </c>
      <c r="H4" s="24">
        <f t="shared" ref="H4:H11" si="2">G4/K4</f>
        <v>0.2</v>
      </c>
      <c r="I4" s="9">
        <v>10</v>
      </c>
      <c r="J4" s="24">
        <f t="shared" ref="J4:J13" si="3">I4/K4</f>
        <v>0.33333333333333331</v>
      </c>
      <c r="K4" s="9">
        <f t="shared" ref="K4:K11" si="4">C4+E4+G4+I4</f>
        <v>30</v>
      </c>
      <c r="L4" s="25">
        <f>((C4+E4+G4)-(3*K4/4))^2/(3*K4/4)+(I4-(K4/4))^2/(K4/4)</f>
        <v>1.1111111111111112</v>
      </c>
      <c r="M4" s="26">
        <f t="shared" ref="M4:M12" si="5">CHIDIST(L4,1)</f>
        <v>0.29184054514378854</v>
      </c>
    </row>
    <row r="5" spans="1:16">
      <c r="A5" s="102"/>
      <c r="B5" s="9" t="s">
        <v>0</v>
      </c>
      <c r="C5" s="9">
        <v>11</v>
      </c>
      <c r="D5" s="24">
        <f t="shared" si="0"/>
        <v>0.29729729729729731</v>
      </c>
      <c r="E5" s="9">
        <v>13</v>
      </c>
      <c r="F5" s="24">
        <f t="shared" si="1"/>
        <v>0.35135135135135137</v>
      </c>
      <c r="G5" s="9">
        <v>7</v>
      </c>
      <c r="H5" s="24">
        <f t="shared" si="2"/>
        <v>0.1891891891891892</v>
      </c>
      <c r="I5" s="9">
        <v>6</v>
      </c>
      <c r="J5" s="24">
        <f t="shared" si="3"/>
        <v>0.16216216216216217</v>
      </c>
      <c r="K5" s="9">
        <f t="shared" si="4"/>
        <v>37</v>
      </c>
      <c r="L5" s="25">
        <f>((C5+E5+G5)-(3*K5/4))^2/(3*K5/4)+(I5-(K5/4))^2/(K5/4)</f>
        <v>1.5225225225225225</v>
      </c>
      <c r="M5" s="26">
        <f t="shared" si="5"/>
        <v>0.2172381591548648</v>
      </c>
    </row>
    <row r="6" spans="1:16">
      <c r="A6" s="102" t="s">
        <v>10</v>
      </c>
      <c r="B6" s="9" t="s">
        <v>1</v>
      </c>
      <c r="C6" s="9">
        <v>4</v>
      </c>
      <c r="D6" s="24">
        <f>C6/K6</f>
        <v>0.21052631578947367</v>
      </c>
      <c r="E6" s="9">
        <v>7</v>
      </c>
      <c r="F6" s="24">
        <f>E6/K6</f>
        <v>0.36842105263157893</v>
      </c>
      <c r="G6" s="9">
        <v>3</v>
      </c>
      <c r="H6" s="24">
        <f>G6/K6</f>
        <v>0.15789473684210525</v>
      </c>
      <c r="I6" s="9">
        <v>5</v>
      </c>
      <c r="J6" s="24">
        <f>I6/K6</f>
        <v>0.26315789473684209</v>
      </c>
      <c r="K6" s="9">
        <f>C6+E6+G6+I6</f>
        <v>19</v>
      </c>
      <c r="L6" s="25">
        <f>((C6+E6+G6)-(3*K6/4))^2/(3*K6/4)+(I6-(K6/4))^2/(K6/4)</f>
        <v>1.7543859649122806E-2</v>
      </c>
      <c r="M6" s="26">
        <f t="shared" si="5"/>
        <v>0.8946258095467281</v>
      </c>
    </row>
    <row r="7" spans="1:16">
      <c r="A7" s="102"/>
      <c r="B7" s="9" t="s">
        <v>0</v>
      </c>
      <c r="C7" s="9">
        <v>6</v>
      </c>
      <c r="D7" s="24">
        <f>C7/K7</f>
        <v>0.27272727272727271</v>
      </c>
      <c r="E7" s="9">
        <v>9</v>
      </c>
      <c r="F7" s="24">
        <f>E7/K7</f>
        <v>0.40909090909090912</v>
      </c>
      <c r="G7" s="9">
        <v>4</v>
      </c>
      <c r="H7" s="24">
        <f>G7/K7</f>
        <v>0.18181818181818182</v>
      </c>
      <c r="I7" s="9">
        <v>3</v>
      </c>
      <c r="J7" s="24">
        <f>I7/K7</f>
        <v>0.13636363636363635</v>
      </c>
      <c r="K7" s="9">
        <f>C7+E7+G7+I7</f>
        <v>22</v>
      </c>
      <c r="L7" s="25">
        <f t="shared" ref="L7:L12" si="6">((C7+E7+G7)-(3*K7/4))^2/(3*K7/4)+(I7-(K7/4))^2/(K7/4)</f>
        <v>1.5151515151515151</v>
      </c>
      <c r="M7" s="26">
        <f t="shared" si="5"/>
        <v>0.21835469056590165</v>
      </c>
    </row>
    <row r="8" spans="1:16">
      <c r="A8" s="102" t="s">
        <v>11</v>
      </c>
      <c r="B8" s="9" t="s">
        <v>1</v>
      </c>
      <c r="C8" s="9">
        <v>6</v>
      </c>
      <c r="D8" s="24">
        <f t="shared" si="0"/>
        <v>0.19354838709677419</v>
      </c>
      <c r="E8" s="9">
        <v>6</v>
      </c>
      <c r="F8" s="24">
        <f t="shared" si="1"/>
        <v>0.19354838709677419</v>
      </c>
      <c r="G8" s="9">
        <v>10</v>
      </c>
      <c r="H8" s="24">
        <f t="shared" si="2"/>
        <v>0.32258064516129031</v>
      </c>
      <c r="I8" s="9">
        <v>9</v>
      </c>
      <c r="J8" s="24">
        <f t="shared" si="3"/>
        <v>0.29032258064516131</v>
      </c>
      <c r="K8" s="9">
        <f t="shared" si="4"/>
        <v>31</v>
      </c>
      <c r="L8" s="25">
        <f t="shared" si="6"/>
        <v>0.26881720430107525</v>
      </c>
      <c r="M8" s="26">
        <f t="shared" si="5"/>
        <v>0.6041263073291685</v>
      </c>
    </row>
    <row r="9" spans="1:16">
      <c r="A9" s="102"/>
      <c r="B9" s="9" t="s">
        <v>0</v>
      </c>
      <c r="C9" s="9">
        <v>4</v>
      </c>
      <c r="D9" s="24">
        <f t="shared" si="0"/>
        <v>0.16</v>
      </c>
      <c r="E9" s="9">
        <v>9</v>
      </c>
      <c r="F9" s="24">
        <f t="shared" si="1"/>
        <v>0.36</v>
      </c>
      <c r="G9" s="9">
        <v>7</v>
      </c>
      <c r="H9" s="24">
        <f t="shared" si="2"/>
        <v>0.28000000000000003</v>
      </c>
      <c r="I9" s="9">
        <v>5</v>
      </c>
      <c r="J9" s="24">
        <f t="shared" si="3"/>
        <v>0.2</v>
      </c>
      <c r="K9" s="9">
        <f t="shared" si="4"/>
        <v>25</v>
      </c>
      <c r="L9" s="25">
        <f t="shared" si="6"/>
        <v>0.33333333333333331</v>
      </c>
      <c r="M9" s="26">
        <f t="shared" si="5"/>
        <v>0.56370286165077299</v>
      </c>
    </row>
    <row r="10" spans="1:16">
      <c r="A10" s="102" t="s">
        <v>12</v>
      </c>
      <c r="B10" s="9" t="s">
        <v>1</v>
      </c>
      <c r="C10" s="9">
        <v>13</v>
      </c>
      <c r="D10" s="24">
        <f t="shared" si="0"/>
        <v>0.33333333333333331</v>
      </c>
      <c r="E10" s="9">
        <v>13</v>
      </c>
      <c r="F10" s="24">
        <f t="shared" si="1"/>
        <v>0.33333333333333331</v>
      </c>
      <c r="G10" s="9">
        <v>8</v>
      </c>
      <c r="H10" s="24">
        <f t="shared" si="2"/>
        <v>0.20512820512820512</v>
      </c>
      <c r="I10" s="9">
        <v>5</v>
      </c>
      <c r="J10" s="24">
        <f t="shared" si="3"/>
        <v>0.12820512820512819</v>
      </c>
      <c r="K10" s="9">
        <f t="shared" si="4"/>
        <v>39</v>
      </c>
      <c r="L10" s="25">
        <f t="shared" si="6"/>
        <v>3.0854700854700856</v>
      </c>
      <c r="M10" s="26">
        <f t="shared" si="5"/>
        <v>7.8994435833722398E-2</v>
      </c>
    </row>
    <row r="11" spans="1:16" ht="17" thickBot="1">
      <c r="A11" s="103"/>
      <c r="B11" s="28" t="s">
        <v>0</v>
      </c>
      <c r="C11" s="28">
        <v>3</v>
      </c>
      <c r="D11" s="34">
        <f t="shared" si="0"/>
        <v>0.23076923076923078</v>
      </c>
      <c r="E11" s="28">
        <v>5</v>
      </c>
      <c r="F11" s="34">
        <f t="shared" si="1"/>
        <v>0.38461538461538464</v>
      </c>
      <c r="G11" s="28">
        <v>3</v>
      </c>
      <c r="H11" s="34">
        <f t="shared" si="2"/>
        <v>0.23076923076923078</v>
      </c>
      <c r="I11" s="28">
        <v>2</v>
      </c>
      <c r="J11" s="34">
        <f t="shared" si="3"/>
        <v>0.15384615384615385</v>
      </c>
      <c r="K11" s="28">
        <f t="shared" si="4"/>
        <v>13</v>
      </c>
      <c r="L11" s="35">
        <f t="shared" si="6"/>
        <v>0.64102564102564108</v>
      </c>
      <c r="M11" s="36">
        <f t="shared" si="5"/>
        <v>0.42333964158244358</v>
      </c>
      <c r="P11" s="23"/>
    </row>
    <row r="12" spans="1:16">
      <c r="A12" s="11" t="s">
        <v>22</v>
      </c>
      <c r="B12" s="4" t="s">
        <v>1</v>
      </c>
      <c r="C12" s="4">
        <f>C4+C6+C8+C10</f>
        <v>28</v>
      </c>
      <c r="D12" s="27">
        <f>C12/K12</f>
        <v>0.23529411764705882</v>
      </c>
      <c r="E12" s="4">
        <f>E4+E6+E8+E10</f>
        <v>35</v>
      </c>
      <c r="F12" s="27">
        <f>E12/K12</f>
        <v>0.29411764705882354</v>
      </c>
      <c r="G12" s="4">
        <f>G4+G6+G8+G10</f>
        <v>27</v>
      </c>
      <c r="H12" s="27">
        <f>G12/K12</f>
        <v>0.22689075630252101</v>
      </c>
      <c r="I12" s="4">
        <f>I4+I6+I8+I10</f>
        <v>29</v>
      </c>
      <c r="J12" s="27">
        <f>I12/K12</f>
        <v>0.24369747899159663</v>
      </c>
      <c r="K12" s="4">
        <f>K4+K6+K8+K10</f>
        <v>119</v>
      </c>
      <c r="L12" s="25">
        <f t="shared" si="6"/>
        <v>2.5210084033613446E-2</v>
      </c>
      <c r="M12" s="26">
        <f t="shared" si="5"/>
        <v>0.87384469851737334</v>
      </c>
    </row>
    <row r="13" spans="1:16" ht="17" thickBot="1">
      <c r="A13" s="37"/>
      <c r="B13" s="32" t="s">
        <v>0</v>
      </c>
      <c r="C13" s="32">
        <f>C5+C7+C9+C11</f>
        <v>24</v>
      </c>
      <c r="D13" s="38">
        <f t="shared" si="0"/>
        <v>0.24742268041237114</v>
      </c>
      <c r="E13" s="32">
        <f>E5+E7+E9+E11</f>
        <v>36</v>
      </c>
      <c r="F13" s="38">
        <f>E13/K13</f>
        <v>0.37113402061855671</v>
      </c>
      <c r="G13" s="32">
        <f>G5+G7+G9+G11</f>
        <v>21</v>
      </c>
      <c r="H13" s="38">
        <f>G13/K13</f>
        <v>0.21649484536082475</v>
      </c>
      <c r="I13" s="32">
        <f>I5+I7+I9+I11</f>
        <v>16</v>
      </c>
      <c r="J13" s="38">
        <f t="shared" si="3"/>
        <v>0.16494845360824742</v>
      </c>
      <c r="K13" s="32">
        <f>K5+K7+K9+K11</f>
        <v>97</v>
      </c>
      <c r="L13" s="35">
        <f>((C13+E13+G13)-(3*K13/4))^2/(3*K13/4)+(I13-(K13/4))^2/(K13/4)</f>
        <v>3.7422680412371134</v>
      </c>
      <c r="M13" s="36">
        <f>CHIDIST(L13,1)</f>
        <v>5.3052387147160013E-2</v>
      </c>
    </row>
    <row r="14" spans="1:16" ht="73" customHeight="1" thickBot="1">
      <c r="A14" s="99" t="s">
        <v>24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</row>
    <row r="15" spans="1:16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</row>
    <row r="17" spans="7:7">
      <c r="G17" s="40"/>
    </row>
    <row r="18" spans="7:7">
      <c r="G18" s="10"/>
    </row>
  </sheetData>
  <mergeCells count="6">
    <mergeCell ref="A14:M14"/>
    <mergeCell ref="C2:J2"/>
    <mergeCell ref="A4:A5"/>
    <mergeCell ref="A6:A7"/>
    <mergeCell ref="A8:A9"/>
    <mergeCell ref="A10:A11"/>
  </mergeCells>
  <pageMargins left="0.25" right="0.25" top="0.75" bottom="0.75" header="0.3" footer="0.3"/>
  <pageSetup orientation="landscape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zoomScale="200" zoomScaleNormal="200" zoomScalePageLayoutView="200" workbookViewId="0">
      <selection activeCell="H25" sqref="H25"/>
    </sheetView>
  </sheetViews>
  <sheetFormatPr baseColWidth="10" defaultRowHeight="15" customHeight="1"/>
  <cols>
    <col min="1" max="1" width="32.5" style="1" customWidth="1"/>
    <col min="2" max="2" width="7.1640625" style="2" customWidth="1"/>
    <col min="3" max="10" width="5.5" style="1" customWidth="1"/>
    <col min="11" max="11" width="6.5" style="2" customWidth="1"/>
    <col min="12" max="12" width="7.33203125" style="21" customWidth="1"/>
    <col min="13" max="16384" width="10.83203125" style="1"/>
  </cols>
  <sheetData>
    <row r="1" spans="1:13" ht="15" customHeight="1">
      <c r="A1" s="20" t="s">
        <v>17</v>
      </c>
    </row>
    <row r="2" spans="1:13" ht="19" customHeight="1">
      <c r="C2" s="105" t="s">
        <v>15</v>
      </c>
      <c r="D2" s="105"/>
      <c r="E2" s="105"/>
      <c r="F2" s="105"/>
      <c r="G2" s="105"/>
      <c r="H2" s="105"/>
      <c r="I2" s="105"/>
      <c r="J2" s="105"/>
    </row>
    <row r="3" spans="1:13" ht="19" customHeight="1">
      <c r="A3" s="7" t="s">
        <v>13</v>
      </c>
      <c r="B3" s="18" t="s">
        <v>14</v>
      </c>
      <c r="C3" s="3" t="s">
        <v>2</v>
      </c>
      <c r="D3" s="13" t="s">
        <v>3</v>
      </c>
      <c r="E3" s="3" t="s">
        <v>4</v>
      </c>
      <c r="F3" s="13" t="s">
        <v>3</v>
      </c>
      <c r="G3" s="3" t="s">
        <v>5</v>
      </c>
      <c r="H3" s="13" t="s">
        <v>3</v>
      </c>
      <c r="I3" s="3" t="s">
        <v>6</v>
      </c>
      <c r="J3" s="13" t="s">
        <v>3</v>
      </c>
      <c r="K3" s="4" t="s">
        <v>7</v>
      </c>
      <c r="L3" s="23" t="s">
        <v>20</v>
      </c>
      <c r="M3" s="21" t="s">
        <v>19</v>
      </c>
    </row>
    <row r="4" spans="1:13" ht="19" customHeight="1">
      <c r="A4" s="107" t="s">
        <v>8</v>
      </c>
      <c r="B4" s="5" t="s">
        <v>1</v>
      </c>
      <c r="C4" s="6">
        <v>8</v>
      </c>
      <c r="D4" s="14">
        <f t="shared" ref="D4:D15" si="0">C4/K4</f>
        <v>0.36363636363636365</v>
      </c>
      <c r="E4" s="6">
        <v>5</v>
      </c>
      <c r="F4" s="14">
        <f t="shared" ref="F4:F13" si="1">E4/K4</f>
        <v>0.22727272727272727</v>
      </c>
      <c r="G4" s="6">
        <v>5</v>
      </c>
      <c r="H4" s="14">
        <f t="shared" ref="H4:H13" si="2">G4/K4</f>
        <v>0.22727272727272727</v>
      </c>
      <c r="I4" s="6">
        <v>4</v>
      </c>
      <c r="J4" s="14">
        <f t="shared" ref="J4:J15" si="3">I4/K4</f>
        <v>0.18181818181818182</v>
      </c>
      <c r="K4" s="5">
        <f t="shared" ref="K4:K13" si="4">C4+E4+G4+I4</f>
        <v>22</v>
      </c>
      <c r="M4" s="21">
        <v>2446</v>
      </c>
    </row>
    <row r="5" spans="1:13" ht="19" customHeight="1">
      <c r="A5" s="104"/>
      <c r="B5" s="7" t="s">
        <v>0</v>
      </c>
      <c r="C5" s="8">
        <v>8</v>
      </c>
      <c r="D5" s="15">
        <f t="shared" si="0"/>
        <v>0.4</v>
      </c>
      <c r="E5" s="8">
        <v>2</v>
      </c>
      <c r="F5" s="15">
        <f t="shared" si="1"/>
        <v>0.1</v>
      </c>
      <c r="G5" s="8">
        <v>5</v>
      </c>
      <c r="H5" s="15">
        <f t="shared" si="2"/>
        <v>0.25</v>
      </c>
      <c r="I5" s="8">
        <v>5</v>
      </c>
      <c r="J5" s="15">
        <f t="shared" si="3"/>
        <v>0.25</v>
      </c>
      <c r="K5" s="7">
        <f t="shared" si="4"/>
        <v>20</v>
      </c>
      <c r="M5" s="21">
        <v>2447</v>
      </c>
    </row>
    <row r="6" spans="1:13" ht="19" customHeight="1">
      <c r="A6" s="107" t="s">
        <v>9</v>
      </c>
      <c r="B6" s="5" t="s">
        <v>1</v>
      </c>
      <c r="C6" s="6">
        <v>5</v>
      </c>
      <c r="D6" s="14">
        <f t="shared" si="0"/>
        <v>0.16666666666666666</v>
      </c>
      <c r="E6" s="6">
        <v>9</v>
      </c>
      <c r="F6" s="14">
        <f t="shared" si="1"/>
        <v>0.3</v>
      </c>
      <c r="G6" s="6">
        <v>6</v>
      </c>
      <c r="H6" s="14">
        <f t="shared" si="2"/>
        <v>0.2</v>
      </c>
      <c r="I6" s="6">
        <v>10</v>
      </c>
      <c r="J6" s="14">
        <f t="shared" si="3"/>
        <v>0.33333333333333331</v>
      </c>
      <c r="K6" s="5">
        <f t="shared" si="4"/>
        <v>30</v>
      </c>
      <c r="M6" s="21">
        <v>2448</v>
      </c>
    </row>
    <row r="7" spans="1:13" ht="19" customHeight="1">
      <c r="A7" s="102"/>
      <c r="B7" s="9" t="s">
        <v>0</v>
      </c>
      <c r="C7" s="10">
        <v>11</v>
      </c>
      <c r="D7" s="16">
        <f t="shared" si="0"/>
        <v>0.29729729729729731</v>
      </c>
      <c r="E7" s="10">
        <v>13</v>
      </c>
      <c r="F7" s="16">
        <f t="shared" si="1"/>
        <v>0.35135135135135137</v>
      </c>
      <c r="G7" s="10">
        <v>7</v>
      </c>
      <c r="H7" s="16">
        <f t="shared" si="2"/>
        <v>0.1891891891891892</v>
      </c>
      <c r="I7" s="10">
        <v>6</v>
      </c>
      <c r="J7" s="16">
        <f t="shared" si="3"/>
        <v>0.16216216216216217</v>
      </c>
      <c r="K7" s="9">
        <f t="shared" si="4"/>
        <v>37</v>
      </c>
      <c r="M7" s="21">
        <v>2449</v>
      </c>
    </row>
    <row r="8" spans="1:13" ht="19" customHeight="1">
      <c r="A8" s="102" t="s">
        <v>10</v>
      </c>
      <c r="B8" s="9" t="s">
        <v>1</v>
      </c>
      <c r="C8" s="10">
        <v>4</v>
      </c>
      <c r="D8" s="16">
        <f>C8/K8</f>
        <v>0.21052631578947367</v>
      </c>
      <c r="E8" s="10">
        <v>7</v>
      </c>
      <c r="F8" s="16">
        <f>E8/K8</f>
        <v>0.36842105263157893</v>
      </c>
      <c r="G8" s="10">
        <v>3</v>
      </c>
      <c r="H8" s="16">
        <f>G8/K8</f>
        <v>0.15789473684210525</v>
      </c>
      <c r="I8" s="10">
        <v>5</v>
      </c>
      <c r="J8" s="16">
        <f>I8/K8</f>
        <v>0.26315789473684209</v>
      </c>
      <c r="K8" s="9">
        <f>C8+E8+G8+I8</f>
        <v>19</v>
      </c>
      <c r="M8" s="21">
        <v>2444</v>
      </c>
    </row>
    <row r="9" spans="1:13" ht="19" customHeight="1">
      <c r="A9" s="102"/>
      <c r="B9" s="9" t="s">
        <v>0</v>
      </c>
      <c r="C9" s="10">
        <v>6</v>
      </c>
      <c r="D9" s="16">
        <f>C9/K9</f>
        <v>0.27272727272727271</v>
      </c>
      <c r="E9" s="10">
        <v>9</v>
      </c>
      <c r="F9" s="16">
        <f>E9/K9</f>
        <v>0.40909090909090912</v>
      </c>
      <c r="G9" s="10">
        <v>4</v>
      </c>
      <c r="H9" s="16">
        <f>G9/K9</f>
        <v>0.18181818181818182</v>
      </c>
      <c r="I9" s="10">
        <v>3</v>
      </c>
      <c r="J9" s="16">
        <f>I9/K9</f>
        <v>0.13636363636363635</v>
      </c>
      <c r="K9" s="9">
        <f>C9+E9+G9+I9</f>
        <v>22</v>
      </c>
      <c r="M9" s="21">
        <v>2445</v>
      </c>
    </row>
    <row r="10" spans="1:13" ht="19" customHeight="1">
      <c r="A10" s="102" t="s">
        <v>11</v>
      </c>
      <c r="B10" s="9" t="s">
        <v>1</v>
      </c>
      <c r="C10" s="10">
        <v>6</v>
      </c>
      <c r="D10" s="16">
        <f t="shared" si="0"/>
        <v>0.19354838709677419</v>
      </c>
      <c r="E10" s="10">
        <v>6</v>
      </c>
      <c r="F10" s="16">
        <f t="shared" si="1"/>
        <v>0.19354838709677419</v>
      </c>
      <c r="G10" s="10">
        <v>10</v>
      </c>
      <c r="H10" s="16">
        <f t="shared" si="2"/>
        <v>0.32258064516129031</v>
      </c>
      <c r="I10" s="10">
        <v>9</v>
      </c>
      <c r="J10" s="16">
        <f t="shared" si="3"/>
        <v>0.29032258064516131</v>
      </c>
      <c r="K10" s="9">
        <f t="shared" si="4"/>
        <v>31</v>
      </c>
      <c r="M10" s="21">
        <v>2450</v>
      </c>
    </row>
    <row r="11" spans="1:13" ht="19" customHeight="1">
      <c r="A11" s="102"/>
      <c r="B11" s="9" t="s">
        <v>0</v>
      </c>
      <c r="C11" s="10">
        <v>4</v>
      </c>
      <c r="D11" s="16">
        <f t="shared" si="0"/>
        <v>0.16</v>
      </c>
      <c r="E11" s="10">
        <v>9</v>
      </c>
      <c r="F11" s="16">
        <f t="shared" si="1"/>
        <v>0.36</v>
      </c>
      <c r="G11" s="10">
        <v>7</v>
      </c>
      <c r="H11" s="16">
        <f t="shared" si="2"/>
        <v>0.28000000000000003</v>
      </c>
      <c r="I11" s="10">
        <v>5</v>
      </c>
      <c r="J11" s="16">
        <f t="shared" si="3"/>
        <v>0.2</v>
      </c>
      <c r="K11" s="9">
        <f t="shared" si="4"/>
        <v>25</v>
      </c>
      <c r="M11" s="21">
        <v>2451</v>
      </c>
    </row>
    <row r="12" spans="1:13" ht="19" customHeight="1">
      <c r="A12" s="102" t="s">
        <v>12</v>
      </c>
      <c r="B12" s="9" t="s">
        <v>1</v>
      </c>
      <c r="C12" s="10">
        <v>13</v>
      </c>
      <c r="D12" s="16">
        <f t="shared" si="0"/>
        <v>0.33333333333333331</v>
      </c>
      <c r="E12" s="10">
        <v>13</v>
      </c>
      <c r="F12" s="16">
        <f t="shared" si="1"/>
        <v>0.33333333333333331</v>
      </c>
      <c r="G12" s="10">
        <v>8</v>
      </c>
      <c r="H12" s="16">
        <f t="shared" si="2"/>
        <v>0.20512820512820512</v>
      </c>
      <c r="I12" s="10">
        <v>5</v>
      </c>
      <c r="J12" s="16">
        <f t="shared" si="3"/>
        <v>0.12820512820512819</v>
      </c>
      <c r="K12" s="9">
        <f t="shared" si="4"/>
        <v>39</v>
      </c>
      <c r="M12" s="21">
        <v>2452</v>
      </c>
    </row>
    <row r="13" spans="1:13" ht="19" customHeight="1">
      <c r="A13" s="104"/>
      <c r="B13" s="7" t="s">
        <v>0</v>
      </c>
      <c r="C13" s="8">
        <v>3</v>
      </c>
      <c r="D13" s="15">
        <f t="shared" si="0"/>
        <v>0.23076923076923078</v>
      </c>
      <c r="E13" s="8">
        <v>5</v>
      </c>
      <c r="F13" s="15">
        <f t="shared" si="1"/>
        <v>0.38461538461538464</v>
      </c>
      <c r="G13" s="8">
        <v>3</v>
      </c>
      <c r="H13" s="15">
        <f t="shared" si="2"/>
        <v>0.23076923076923078</v>
      </c>
      <c r="I13" s="8">
        <v>2</v>
      </c>
      <c r="J13" s="15">
        <f t="shared" si="3"/>
        <v>0.15384615384615385</v>
      </c>
      <c r="K13" s="7">
        <f t="shared" si="4"/>
        <v>13</v>
      </c>
      <c r="M13" s="21">
        <v>2453</v>
      </c>
    </row>
    <row r="14" spans="1:13" ht="19" customHeight="1">
      <c r="A14" s="11" t="s">
        <v>16</v>
      </c>
      <c r="B14" s="4" t="s">
        <v>1</v>
      </c>
      <c r="C14" s="12">
        <f>C6+C8+C10+C12</f>
        <v>28</v>
      </c>
      <c r="D14" s="17">
        <f t="shared" si="0"/>
        <v>0.23529411764705882</v>
      </c>
      <c r="E14" s="12">
        <f>E6+E8+E10+E12</f>
        <v>35</v>
      </c>
      <c r="F14" s="17">
        <f>E14/K14</f>
        <v>0.29411764705882354</v>
      </c>
      <c r="G14" s="12">
        <f>G6+G8+G10+G12</f>
        <v>27</v>
      </c>
      <c r="H14" s="17">
        <f>G14/K14</f>
        <v>0.22689075630252101</v>
      </c>
      <c r="I14" s="12">
        <f>I6+I8+I10+I12</f>
        <v>29</v>
      </c>
      <c r="J14" s="17">
        <f t="shared" si="3"/>
        <v>0.24369747899159663</v>
      </c>
      <c r="K14" s="4">
        <f>K6+K8+K10+K12</f>
        <v>119</v>
      </c>
      <c r="L14" s="23">
        <v>0.73</v>
      </c>
    </row>
    <row r="15" spans="1:13" ht="19" customHeight="1">
      <c r="A15" s="12"/>
      <c r="B15" s="4" t="s">
        <v>0</v>
      </c>
      <c r="C15" s="12">
        <f>C7+C9+C11+C13</f>
        <v>24</v>
      </c>
      <c r="D15" s="17">
        <f t="shared" si="0"/>
        <v>0.24742268041237114</v>
      </c>
      <c r="E15" s="12">
        <f>E7+E9+E11+E13</f>
        <v>36</v>
      </c>
      <c r="F15" s="17">
        <f>E15/K15</f>
        <v>0.37113402061855671</v>
      </c>
      <c r="G15" s="12">
        <f>G7+G9+G11+G13</f>
        <v>21</v>
      </c>
      <c r="H15" s="17">
        <f>G15/K15</f>
        <v>0.21649484536082475</v>
      </c>
      <c r="I15" s="12">
        <f>I7+I9+I11+I13</f>
        <v>16</v>
      </c>
      <c r="J15" s="17">
        <f t="shared" si="3"/>
        <v>0.16494845360824742</v>
      </c>
      <c r="K15" s="4">
        <f>K7+K9+K11+K13</f>
        <v>97</v>
      </c>
      <c r="L15" s="23">
        <v>0.03</v>
      </c>
    </row>
    <row r="16" spans="1:13" ht="66" customHeight="1">
      <c r="A16" s="106" t="s">
        <v>18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</row>
    <row r="17" spans="1:13" s="10" customFormat="1" ht="12" customHeight="1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22"/>
    </row>
    <row r="19" spans="1:13" ht="15" customHeight="1">
      <c r="A19" s="95" t="s">
        <v>80</v>
      </c>
      <c r="B19" s="1">
        <f>C4+C5</f>
        <v>16</v>
      </c>
      <c r="C19" s="1">
        <f>E4+E5</f>
        <v>7</v>
      </c>
      <c r="D19" s="1">
        <f>G4+G5</f>
        <v>10</v>
      </c>
      <c r="E19" s="1">
        <f>I4+I5</f>
        <v>9</v>
      </c>
      <c r="F19" s="1">
        <f>$J19*0.175</f>
        <v>7.35</v>
      </c>
      <c r="G19" s="1">
        <f>$J19*0.325</f>
        <v>13.65</v>
      </c>
      <c r="H19" s="1">
        <f>$J19*0.325</f>
        <v>13.65</v>
      </c>
      <c r="I19" s="1">
        <f>$J19*0.175</f>
        <v>7.35</v>
      </c>
      <c r="J19" s="2">
        <v>42</v>
      </c>
      <c r="K19" s="2">
        <f>_xlfn.CHISQ.TEST(B19:E19,F19:I19)</f>
        <v>2.027853701486111E-3</v>
      </c>
    </row>
    <row r="20" spans="1:13" ht="15" customHeight="1">
      <c r="A20" s="95" t="s">
        <v>81</v>
      </c>
      <c r="B20" s="20">
        <f>C5+C4</f>
        <v>16</v>
      </c>
      <c r="C20" s="20">
        <f>E5+E4</f>
        <v>7</v>
      </c>
      <c r="D20" s="20">
        <f>G5+G4</f>
        <v>10</v>
      </c>
      <c r="E20" s="20">
        <f>I5+I4</f>
        <v>9</v>
      </c>
      <c r="F20" s="20">
        <f>$J20*0.325</f>
        <v>13.65</v>
      </c>
      <c r="G20" s="20">
        <f>$J20*0.175</f>
        <v>7.35</v>
      </c>
      <c r="H20" s="20">
        <f>$J20*0.175</f>
        <v>7.35</v>
      </c>
      <c r="I20" s="20">
        <f>$J20*0.325</f>
        <v>13.65</v>
      </c>
      <c r="J20" s="96">
        <v>42</v>
      </c>
      <c r="K20" s="96">
        <f>_xlfn.CHISQ.TEST(B20:E20,F20:I20)</f>
        <v>0.39771587534404607</v>
      </c>
      <c r="L20" s="21">
        <f>LOG((K20/K19),10)</f>
        <v>2.2925363069300686</v>
      </c>
      <c r="M20" s="1">
        <f>(10/60)/0.25</f>
        <v>0.66666666666666663</v>
      </c>
    </row>
    <row r="21" spans="1:13" ht="15" customHeight="1">
      <c r="A21" s="95" t="s">
        <v>82</v>
      </c>
      <c r="B21" s="20">
        <f>C6+C7</f>
        <v>16</v>
      </c>
      <c r="C21" s="20">
        <f>E6+E7</f>
        <v>22</v>
      </c>
      <c r="D21" s="20">
        <f>G6+G7</f>
        <v>13</v>
      </c>
      <c r="E21" s="20">
        <f>I6+I7</f>
        <v>16</v>
      </c>
      <c r="F21" s="20">
        <f>$J21*0.175</f>
        <v>11.725</v>
      </c>
      <c r="G21" s="20">
        <f>$J21*0.325</f>
        <v>21.775000000000002</v>
      </c>
      <c r="H21" s="20">
        <f>$J21*0.325</f>
        <v>21.775000000000002</v>
      </c>
      <c r="I21" s="20">
        <f>$J21*0.175</f>
        <v>11.725</v>
      </c>
      <c r="J21" s="96">
        <v>67</v>
      </c>
      <c r="K21" s="96">
        <f>_xlfn.CHISQ.TEST(B21:E21,F21:I21)</f>
        <v>8.3712984494393891E-2</v>
      </c>
      <c r="L21" s="21">
        <f>LOG((K21/K22),10)</f>
        <v>1.0961171368092135</v>
      </c>
      <c r="M21" s="1">
        <f>1-M20</f>
        <v>0.33333333333333337</v>
      </c>
    </row>
    <row r="22" spans="1:13" ht="15" customHeight="1">
      <c r="A22" s="95" t="s">
        <v>83</v>
      </c>
      <c r="B22" s="1">
        <f>C7+C6</f>
        <v>16</v>
      </c>
      <c r="C22" s="1">
        <f>E7+E6</f>
        <v>22</v>
      </c>
      <c r="D22" s="1">
        <f>G7+G6</f>
        <v>13</v>
      </c>
      <c r="E22" s="1">
        <f>I7+I6</f>
        <v>16</v>
      </c>
      <c r="F22" s="1">
        <f>$J22*0.325</f>
        <v>21.775000000000002</v>
      </c>
      <c r="G22" s="1">
        <f>$J22*0.175</f>
        <v>11.725</v>
      </c>
      <c r="H22" s="1">
        <f>$J22*0.175</f>
        <v>11.725</v>
      </c>
      <c r="I22" s="1">
        <f>$J22*0.325</f>
        <v>21.775000000000002</v>
      </c>
      <c r="J22" s="2">
        <v>67</v>
      </c>
      <c r="K22" s="2">
        <f>_xlfn.CHISQ.TEST(B22:E22,F22:I22)</f>
        <v>6.7092764758417845E-3</v>
      </c>
    </row>
  </sheetData>
  <mergeCells count="7">
    <mergeCell ref="C2:J2"/>
    <mergeCell ref="A16:K16"/>
    <mergeCell ref="A4:A5"/>
    <mergeCell ref="A6:A7"/>
    <mergeCell ref="A8:A9"/>
    <mergeCell ref="A10:A11"/>
    <mergeCell ref="A12:A13"/>
  </mergeCells>
  <phoneticPr fontId="11" type="noConversion"/>
  <printOptions horizontalCentered="1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3FD88-D4D0-5D41-A52C-12828B4D01D8}">
  <dimension ref="A1:M18"/>
  <sheetViews>
    <sheetView zoomScale="140" zoomScaleNormal="140" workbookViewId="0">
      <selection activeCell="G5" sqref="G5"/>
    </sheetView>
  </sheetViews>
  <sheetFormatPr baseColWidth="10" defaultRowHeight="16"/>
  <cols>
    <col min="1" max="1" width="23.83203125" customWidth="1"/>
    <col min="2" max="2" width="7" customWidth="1"/>
    <col min="3" max="3" width="10.33203125" customWidth="1"/>
    <col min="4" max="4" width="7.5" customWidth="1"/>
    <col min="5" max="5" width="13" customWidth="1"/>
    <col min="6" max="6" width="10.1640625" customWidth="1"/>
    <col min="7" max="7" width="8.1640625" customWidth="1"/>
  </cols>
  <sheetData>
    <row r="1" spans="1:13">
      <c r="A1" t="s">
        <v>62</v>
      </c>
    </row>
    <row r="2" spans="1:13">
      <c r="B2" s="79" t="s">
        <v>7</v>
      </c>
      <c r="C2" s="45" t="s">
        <v>63</v>
      </c>
      <c r="D2" s="80"/>
      <c r="E2" s="80" t="s">
        <v>64</v>
      </c>
      <c r="F2" s="80" t="s">
        <v>65</v>
      </c>
      <c r="G2" s="81" t="s">
        <v>33</v>
      </c>
      <c r="H2" s="82" t="s">
        <v>64</v>
      </c>
      <c r="I2" s="82" t="s">
        <v>65</v>
      </c>
      <c r="J2" s="83" t="s">
        <v>33</v>
      </c>
      <c r="K2" s="84" t="s">
        <v>64</v>
      </c>
      <c r="L2" s="84" t="s">
        <v>65</v>
      </c>
      <c r="M2" s="85" t="s">
        <v>33</v>
      </c>
    </row>
    <row r="3" spans="1:13">
      <c r="A3" t="s">
        <v>66</v>
      </c>
      <c r="B3" s="80">
        <v>117</v>
      </c>
      <c r="C3" s="80">
        <v>21</v>
      </c>
      <c r="D3" s="86">
        <f>C3/B3</f>
        <v>0.17948717948717949</v>
      </c>
      <c r="E3" s="80">
        <v>33.43</v>
      </c>
      <c r="F3" s="86">
        <f>(E3-C3)/E3</f>
        <v>0.37182171702064015</v>
      </c>
      <c r="G3" s="87">
        <v>1.0999999999999999E-2</v>
      </c>
      <c r="H3" s="82">
        <v>25.07</v>
      </c>
      <c r="I3" s="88">
        <f>(H3-C3)/H3</f>
        <v>0.16234543278819308</v>
      </c>
      <c r="J3" s="89">
        <v>0.36</v>
      </c>
      <c r="K3" s="84">
        <v>30.5</v>
      </c>
      <c r="L3" s="90">
        <f>(K3-C3)/K3</f>
        <v>0.31147540983606559</v>
      </c>
      <c r="M3" s="91">
        <v>4.4999999999999998E-2</v>
      </c>
    </row>
    <row r="4" spans="1:13">
      <c r="A4" t="s">
        <v>67</v>
      </c>
      <c r="B4" s="80">
        <v>359</v>
      </c>
      <c r="C4" s="80">
        <v>172</v>
      </c>
      <c r="D4" s="86">
        <f>C4/B4</f>
        <v>0.47910863509749302</v>
      </c>
      <c r="E4" s="80">
        <v>179.5</v>
      </c>
      <c r="F4" s="86">
        <f>(E4-C4)/E4</f>
        <v>4.1782729805013928E-2</v>
      </c>
      <c r="G4" s="87">
        <v>0.42899999999999999</v>
      </c>
      <c r="H4" s="82"/>
      <c r="I4" s="88"/>
      <c r="J4" s="89"/>
      <c r="K4" s="84"/>
      <c r="L4" s="90"/>
      <c r="M4" s="91"/>
    </row>
    <row r="5" spans="1:13">
      <c r="A5" t="s">
        <v>68</v>
      </c>
      <c r="B5" s="80">
        <v>476</v>
      </c>
      <c r="C5" s="80">
        <v>193</v>
      </c>
      <c r="D5" s="80" t="s">
        <v>69</v>
      </c>
      <c r="E5" s="80">
        <v>212.93</v>
      </c>
      <c r="F5" s="86">
        <f>(E5-C5)/E5</f>
        <v>9.3598835297985281E-2</v>
      </c>
      <c r="G5" s="87">
        <v>6.6000000000000003E-2</v>
      </c>
      <c r="H5" s="82">
        <v>204.57</v>
      </c>
      <c r="I5" s="88">
        <f>(H5-C5)/H5</f>
        <v>5.6557657525541351E-2</v>
      </c>
      <c r="J5" s="89">
        <v>0.28399999999999997</v>
      </c>
      <c r="K5" s="84">
        <v>210</v>
      </c>
      <c r="L5" s="90">
        <f>(K5-C5)/K5</f>
        <v>8.0952380952380956E-2</v>
      </c>
      <c r="M5" s="91">
        <v>0.11700000000000001</v>
      </c>
    </row>
    <row r="10" spans="1:13">
      <c r="A10" t="s">
        <v>70</v>
      </c>
    </row>
    <row r="11" spans="1:13">
      <c r="A11" t="s">
        <v>71</v>
      </c>
    </row>
    <row r="12" spans="1:13">
      <c r="A12" t="s">
        <v>72</v>
      </c>
    </row>
    <row r="13" spans="1:13">
      <c r="A13" s="92" t="s">
        <v>73</v>
      </c>
    </row>
    <row r="14" spans="1:13">
      <c r="A14" s="92" t="s">
        <v>74</v>
      </c>
    </row>
    <row r="15" spans="1:13">
      <c r="A15" s="92" t="s">
        <v>75</v>
      </c>
    </row>
    <row r="16" spans="1:13">
      <c r="A16" s="93" t="s">
        <v>76</v>
      </c>
    </row>
    <row r="17" spans="1:1">
      <c r="A17" s="94" t="s">
        <v>77</v>
      </c>
    </row>
    <row r="18" spans="1:1">
      <c r="A18" t="s">
        <v>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6E35E-978F-8146-BB7A-F5496E9F4690}">
  <dimension ref="A2:U13"/>
  <sheetViews>
    <sheetView topLeftCell="A4" workbookViewId="0">
      <selection activeCell="M11" sqref="M11"/>
    </sheetView>
  </sheetViews>
  <sheetFormatPr baseColWidth="10" defaultRowHeight="16"/>
  <cols>
    <col min="1" max="1" width="13.83203125" customWidth="1"/>
  </cols>
  <sheetData>
    <row r="2" spans="1:21">
      <c r="A2">
        <v>0.44</v>
      </c>
      <c r="B2" t="s">
        <v>35</v>
      </c>
      <c r="K2">
        <f>0.5*0.6468</f>
        <v>0.32340000000000002</v>
      </c>
      <c r="L2">
        <f>0.5*0.3532</f>
        <v>0.17660000000000001</v>
      </c>
      <c r="M2">
        <f>0.5*0.3532</f>
        <v>0.17660000000000001</v>
      </c>
      <c r="N2">
        <f>0.5*0.6468</f>
        <v>0.32340000000000002</v>
      </c>
      <c r="R2">
        <f>0.5*0.3532</f>
        <v>0.17660000000000001</v>
      </c>
      <c r="S2">
        <f>0.5*0.6468</f>
        <v>0.32340000000000002</v>
      </c>
      <c r="T2">
        <f>0.5*0.6468</f>
        <v>0.32340000000000002</v>
      </c>
      <c r="U2">
        <f>0.5*0.3532</f>
        <v>0.17660000000000001</v>
      </c>
    </row>
    <row r="3" spans="1:21">
      <c r="A3">
        <f>0.5*(TANH(2*A2))</f>
        <v>0.3532096601986176</v>
      </c>
      <c r="B3" t="s">
        <v>36</v>
      </c>
      <c r="K3" t="s">
        <v>56</v>
      </c>
      <c r="L3" t="s">
        <v>57</v>
      </c>
      <c r="M3" s="61" t="s">
        <v>58</v>
      </c>
      <c r="N3" s="61" t="s">
        <v>59</v>
      </c>
      <c r="R3" t="s">
        <v>56</v>
      </c>
      <c r="S3" t="s">
        <v>57</v>
      </c>
      <c r="T3" s="61" t="s">
        <v>58</v>
      </c>
      <c r="U3" s="61" t="s">
        <v>59</v>
      </c>
    </row>
    <row r="4" spans="1:21">
      <c r="A4">
        <f>1-A3</f>
        <v>0.64679033980138234</v>
      </c>
      <c r="B4" t="s">
        <v>37</v>
      </c>
      <c r="I4">
        <f>0.5*0.6468</f>
        <v>0.32340000000000002</v>
      </c>
      <c r="J4" t="s">
        <v>56</v>
      </c>
      <c r="K4" s="62">
        <f>K$2*I4</f>
        <v>0.10458756000000001</v>
      </c>
      <c r="L4">
        <f>L$2*I4</f>
        <v>5.7112440000000007E-2</v>
      </c>
      <c r="M4">
        <f>M$2*I4</f>
        <v>5.7112440000000007E-2</v>
      </c>
      <c r="N4" s="63">
        <f>N$2*I4</f>
        <v>0.10458756000000001</v>
      </c>
      <c r="P4">
        <f>0.5*0.3532</f>
        <v>0.17660000000000001</v>
      </c>
      <c r="Q4" t="s">
        <v>56</v>
      </c>
      <c r="R4" s="62">
        <f>R$2*P4</f>
        <v>3.1187560000000003E-2</v>
      </c>
      <c r="S4">
        <f>S$2*P4</f>
        <v>5.7112440000000007E-2</v>
      </c>
      <c r="T4">
        <f>T$2*P4</f>
        <v>5.7112440000000007E-2</v>
      </c>
      <c r="U4" s="63">
        <f>U$2*P4</f>
        <v>3.1187560000000003E-2</v>
      </c>
    </row>
    <row r="5" spans="1:21">
      <c r="I5">
        <f>0.5*0.3532</f>
        <v>0.17660000000000001</v>
      </c>
      <c r="J5" t="s">
        <v>57</v>
      </c>
      <c r="K5">
        <f t="shared" ref="K5:K7" si="0">K$2*I5</f>
        <v>5.7112440000000007E-2</v>
      </c>
      <c r="L5">
        <f t="shared" ref="L5:L7" si="1">L$2*I5</f>
        <v>3.1187560000000003E-2</v>
      </c>
      <c r="M5" s="64">
        <f t="shared" ref="M5:M7" si="2">M$2*I5</f>
        <v>3.1187560000000003E-2</v>
      </c>
      <c r="N5">
        <f t="shared" ref="N5:N7" si="3">N$2*I5</f>
        <v>5.7112440000000007E-2</v>
      </c>
      <c r="P5">
        <f>0.5*0.6468</f>
        <v>0.32340000000000002</v>
      </c>
      <c r="Q5" t="s">
        <v>57</v>
      </c>
      <c r="R5">
        <f t="shared" ref="R5:R7" si="4">R$2*P5</f>
        <v>5.7112440000000007E-2</v>
      </c>
      <c r="S5">
        <f t="shared" ref="S5:S7" si="5">S$2*P5</f>
        <v>0.10458756000000001</v>
      </c>
      <c r="T5" s="64">
        <f t="shared" ref="T5:T7" si="6">T$2*P5</f>
        <v>0.10458756000000001</v>
      </c>
      <c r="U5">
        <f t="shared" ref="U5:U7" si="7">U$2*P5</f>
        <v>5.7112440000000007E-2</v>
      </c>
    </row>
    <row r="6" spans="1:21">
      <c r="I6">
        <f>0.5*0.3532</f>
        <v>0.17660000000000001</v>
      </c>
      <c r="J6" s="61" t="s">
        <v>58</v>
      </c>
      <c r="K6">
        <f t="shared" si="0"/>
        <v>5.7112440000000007E-2</v>
      </c>
      <c r="L6" s="64">
        <f t="shared" si="1"/>
        <v>3.1187560000000003E-2</v>
      </c>
      <c r="M6">
        <f t="shared" si="2"/>
        <v>3.1187560000000003E-2</v>
      </c>
      <c r="N6">
        <f t="shared" si="3"/>
        <v>5.7112440000000007E-2</v>
      </c>
      <c r="P6">
        <f>0.5*0.6468</f>
        <v>0.32340000000000002</v>
      </c>
      <c r="Q6" s="61" t="s">
        <v>58</v>
      </c>
      <c r="R6">
        <f t="shared" si="4"/>
        <v>5.7112440000000007E-2</v>
      </c>
      <c r="S6" s="64">
        <f t="shared" si="5"/>
        <v>0.10458756000000001</v>
      </c>
      <c r="T6">
        <f t="shared" si="6"/>
        <v>0.10458756000000001</v>
      </c>
      <c r="U6">
        <f t="shared" si="7"/>
        <v>5.7112440000000007E-2</v>
      </c>
    </row>
    <row r="7" spans="1:21">
      <c r="I7">
        <f>0.5*0.6468</f>
        <v>0.32340000000000002</v>
      </c>
      <c r="J7" s="61" t="s">
        <v>59</v>
      </c>
      <c r="K7" s="63">
        <f t="shared" si="0"/>
        <v>0.10458756000000001</v>
      </c>
      <c r="L7">
        <f t="shared" si="1"/>
        <v>5.7112440000000007E-2</v>
      </c>
      <c r="M7">
        <f t="shared" si="2"/>
        <v>5.7112440000000007E-2</v>
      </c>
      <c r="N7">
        <f t="shared" si="3"/>
        <v>0.10458756000000001</v>
      </c>
      <c r="P7">
        <f>0.5*0.3532</f>
        <v>0.17660000000000001</v>
      </c>
      <c r="Q7" s="61" t="s">
        <v>59</v>
      </c>
      <c r="R7" s="63">
        <f t="shared" si="4"/>
        <v>3.1187560000000003E-2</v>
      </c>
      <c r="S7">
        <f t="shared" si="5"/>
        <v>5.7112440000000007E-2</v>
      </c>
      <c r="T7">
        <f t="shared" si="6"/>
        <v>5.7112440000000007E-2</v>
      </c>
      <c r="U7">
        <f t="shared" si="7"/>
        <v>3.1187560000000003E-2</v>
      </c>
    </row>
    <row r="8" spans="1:21">
      <c r="A8" t="s">
        <v>38</v>
      </c>
    </row>
    <row r="9" spans="1:21">
      <c r="L9" t="s">
        <v>44</v>
      </c>
      <c r="M9" t="s">
        <v>60</v>
      </c>
      <c r="N9" t="s">
        <v>61</v>
      </c>
    </row>
    <row r="10" spans="1:21">
      <c r="A10">
        <v>1462</v>
      </c>
      <c r="B10" t="s">
        <v>39</v>
      </c>
      <c r="K10" s="63">
        <f>K7+N4</f>
        <v>0.20917512000000002</v>
      </c>
      <c r="L10">
        <f>K10/(K10+K11)</f>
        <v>0.77029988999457333</v>
      </c>
      <c r="M10">
        <f>L10*L10+L11*L10</f>
        <v>0.77029988999457322</v>
      </c>
      <c r="R10" s="63">
        <f>R7+U4</f>
        <v>6.2375120000000006E-2</v>
      </c>
      <c r="S10">
        <f>R10/(R10+R11)</f>
        <v>0.22970011000542659</v>
      </c>
    </row>
    <row r="11" spans="1:21">
      <c r="A11">
        <v>1486</v>
      </c>
      <c r="B11" t="s">
        <v>44</v>
      </c>
      <c r="K11" s="64">
        <f>L6+M5</f>
        <v>6.2375120000000006E-2</v>
      </c>
      <c r="L11">
        <f>K11/(K10+K11)</f>
        <v>0.22970011000542659</v>
      </c>
      <c r="M11">
        <f>L11*L11+L10*L11</f>
        <v>0.22970011000542656</v>
      </c>
      <c r="R11" s="64">
        <f>S6+T5</f>
        <v>0.20917512000000002</v>
      </c>
      <c r="S11">
        <f>R11/(R10+R11)</f>
        <v>0.77029988999457333</v>
      </c>
    </row>
    <row r="12" spans="1:21">
      <c r="A12" t="s">
        <v>43</v>
      </c>
      <c r="B12" s="12" t="s">
        <v>42</v>
      </c>
    </row>
    <row r="13" spans="1:21">
      <c r="A13" t="s">
        <v>41</v>
      </c>
      <c r="B13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Just TIR1 AFB5 AFB2</vt:lpstr>
      <vt:lpstr>Figure-all</vt:lpstr>
      <vt:lpstr>old Figure</vt:lpstr>
      <vt:lpstr>old old figure</vt:lpstr>
      <vt:lpstr>model comparisons</vt:lpstr>
      <vt:lpstr>Kosambi</vt:lpstr>
    </vt:vector>
  </TitlesOfParts>
  <Company>University of California, San Diego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Prigge</dc:creator>
  <cp:lastModifiedBy>Michael Prigge</cp:lastModifiedBy>
  <cp:lastPrinted>2020-01-23T00:45:06Z</cp:lastPrinted>
  <dcterms:created xsi:type="dcterms:W3CDTF">2016-07-29T03:19:17Z</dcterms:created>
  <dcterms:modified xsi:type="dcterms:W3CDTF">2020-01-25T00:11:11Z</dcterms:modified>
</cp:coreProperties>
</file>