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na.dumitrescu/Documents/Wyart_Postdoc/Data/OPSIN_testing_project/Figures/"/>
    </mc:Choice>
  </mc:AlternateContent>
  <xr:revisionPtr revIDLastSave="0" documentId="13_ncr:1_{7C04E63E-357C-0249-85DF-7A9410D4496E}" xr6:coauthVersionLast="45" xr6:coauthVersionMax="45" xr10:uidLastSave="{00000000-0000-0000-0000-000000000000}"/>
  <bookViews>
    <workbookView xWindow="1940" yWindow="1740" windowWidth="33640" windowHeight="16940" activeTab="1" xr2:uid="{021A2FD3-35F4-7245-8BCE-D5BC783FBE49}"/>
  </bookViews>
  <sheets>
    <sheet name="Fig 8 C-G" sheetId="14" r:id="rId1"/>
    <sheet name="Fig 8 Supplement B-H" sheetId="1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5" l="1"/>
  <c r="E11" i="15"/>
  <c r="D11" i="15"/>
  <c r="C22" i="15"/>
  <c r="D22" i="15"/>
  <c r="E22" i="15"/>
  <c r="C6" i="15" l="1"/>
  <c r="D6" i="15"/>
  <c r="E6" i="15"/>
  <c r="C7" i="15"/>
  <c r="D7" i="15"/>
  <c r="E7" i="15"/>
  <c r="C8" i="15"/>
  <c r="D8" i="15"/>
  <c r="E8" i="15"/>
  <c r="C9" i="15"/>
  <c r="D9" i="15"/>
  <c r="E9" i="15"/>
  <c r="C10" i="15"/>
  <c r="D10" i="15"/>
  <c r="E10" i="15"/>
  <c r="C16" i="15"/>
  <c r="D16" i="15"/>
  <c r="E16" i="15"/>
  <c r="C17" i="15"/>
  <c r="D17" i="15"/>
  <c r="E17" i="15"/>
  <c r="C18" i="15"/>
  <c r="D18" i="15"/>
  <c r="E18" i="15"/>
  <c r="C19" i="15"/>
  <c r="D19" i="15"/>
  <c r="E19" i="15"/>
  <c r="C20" i="15"/>
  <c r="D20" i="15"/>
  <c r="E20" i="15"/>
  <c r="C21" i="15"/>
  <c r="D21" i="15"/>
  <c r="E21" i="15"/>
  <c r="E5" i="15"/>
  <c r="D5" i="15"/>
  <c r="C5" i="15"/>
  <c r="CN57" i="15" l="1"/>
  <c r="CO57" i="15"/>
  <c r="CP57" i="15"/>
  <c r="CN58" i="15"/>
  <c r="CO58" i="15"/>
  <c r="CP58" i="15"/>
  <c r="CN59" i="15"/>
  <c r="CO59" i="15"/>
  <c r="CP59" i="15"/>
  <c r="CN60" i="15"/>
  <c r="CO60" i="15"/>
  <c r="CP60" i="15"/>
  <c r="CN61" i="15"/>
  <c r="CO61" i="15"/>
  <c r="CP61" i="15"/>
  <c r="CN62" i="15"/>
  <c r="CO62" i="15"/>
  <c r="CP62" i="15"/>
  <c r="CP56" i="15"/>
  <c r="CP51" i="15"/>
  <c r="CO51" i="15"/>
  <c r="CN51" i="15"/>
  <c r="CP50" i="15"/>
  <c r="CO50" i="15"/>
  <c r="CN50" i="15"/>
  <c r="CP49" i="15"/>
  <c r="CO49" i="15"/>
  <c r="CN49" i="15"/>
  <c r="CP48" i="15"/>
  <c r="CO48" i="15"/>
  <c r="CN48" i="15"/>
  <c r="CP47" i="15"/>
  <c r="CN47" i="15"/>
  <c r="CP46" i="15"/>
  <c r="CN46" i="15"/>
  <c r="CP45" i="15"/>
  <c r="CP40" i="15"/>
  <c r="CO40" i="15"/>
  <c r="CN40" i="15"/>
  <c r="CP39" i="15"/>
  <c r="CO39" i="15"/>
  <c r="CN39" i="15"/>
  <c r="CP38" i="15"/>
  <c r="CP37" i="15"/>
  <c r="CO37" i="15"/>
  <c r="CN37" i="15"/>
  <c r="CP36" i="15"/>
  <c r="CP35" i="15"/>
  <c r="CO35" i="15"/>
  <c r="CN35" i="15"/>
  <c r="CP34" i="15"/>
  <c r="CO34" i="15"/>
  <c r="CN34" i="15"/>
  <c r="CP29" i="15"/>
  <c r="CO29" i="15"/>
  <c r="CN29" i="15"/>
  <c r="CP28" i="15"/>
  <c r="CO28" i="15"/>
  <c r="CN28" i="15"/>
  <c r="CP27" i="15"/>
  <c r="CP26" i="15"/>
  <c r="CO26" i="15"/>
  <c r="CN26" i="15"/>
  <c r="CP25" i="15"/>
  <c r="CP24" i="15"/>
  <c r="CO24" i="15"/>
  <c r="CN24" i="15"/>
  <c r="CP23" i="15"/>
  <c r="CO23" i="15"/>
  <c r="CN23" i="15"/>
  <c r="CP18" i="15"/>
  <c r="CO18" i="15"/>
  <c r="CN18" i="15"/>
  <c r="CP17" i="15"/>
  <c r="CN17" i="15"/>
  <c r="CP16" i="15"/>
  <c r="CP15" i="15"/>
  <c r="CP14" i="15"/>
  <c r="CN14" i="15"/>
  <c r="CP13" i="15"/>
  <c r="CN13" i="15"/>
  <c r="CP12" i="15"/>
  <c r="BW51" i="15"/>
  <c r="BV51" i="15"/>
  <c r="BU51" i="15"/>
  <c r="BW50" i="15"/>
  <c r="BV50" i="15"/>
  <c r="BU50" i="15"/>
  <c r="BW49" i="15"/>
  <c r="BV49" i="15"/>
  <c r="BU49" i="15"/>
  <c r="BW48" i="15"/>
  <c r="BV48" i="15"/>
  <c r="BU48" i="15"/>
  <c r="BW47" i="15"/>
  <c r="BU47" i="15"/>
  <c r="BW46" i="15"/>
  <c r="BU46" i="15"/>
  <c r="BW45" i="15"/>
  <c r="BW40" i="15"/>
  <c r="BV40" i="15"/>
  <c r="BU40" i="15"/>
  <c r="BW39" i="15"/>
  <c r="BV39" i="15"/>
  <c r="BU39" i="15"/>
  <c r="BW38" i="15"/>
  <c r="BW37" i="15"/>
  <c r="BV37" i="15"/>
  <c r="BU37" i="15"/>
  <c r="BW36" i="15"/>
  <c r="BW35" i="15"/>
  <c r="BV35" i="15"/>
  <c r="BU35" i="15"/>
  <c r="BW34" i="15"/>
  <c r="BV34" i="15"/>
  <c r="BU34" i="15"/>
  <c r="BW29" i="15"/>
  <c r="BV29" i="15"/>
  <c r="BU29" i="15"/>
  <c r="BW28" i="15"/>
  <c r="BV28" i="15"/>
  <c r="BU28" i="15"/>
  <c r="BW27" i="15"/>
  <c r="BW26" i="15"/>
  <c r="BV26" i="15"/>
  <c r="BU26" i="15"/>
  <c r="BW25" i="15"/>
  <c r="BW24" i="15"/>
  <c r="BV24" i="15"/>
  <c r="BU24" i="15"/>
  <c r="BW23" i="15"/>
  <c r="BV23" i="15"/>
  <c r="BU23" i="15"/>
  <c r="BW18" i="15"/>
  <c r="BV18" i="15"/>
  <c r="BU18" i="15"/>
  <c r="BW17" i="15"/>
  <c r="BU17" i="15"/>
  <c r="BW16" i="15"/>
  <c r="BW15" i="15"/>
  <c r="BW14" i="15"/>
  <c r="BU14" i="15"/>
  <c r="BW13" i="15"/>
  <c r="BU13" i="15"/>
  <c r="BW12" i="15"/>
  <c r="BC17" i="15"/>
  <c r="BD62" i="15"/>
  <c r="BC62" i="15"/>
  <c r="BB62" i="15"/>
  <c r="BD61" i="15"/>
  <c r="BC61" i="15"/>
  <c r="BB61" i="15"/>
  <c r="BD60" i="15"/>
  <c r="BC60" i="15"/>
  <c r="BB60" i="15"/>
  <c r="BD59" i="15"/>
  <c r="BC59" i="15"/>
  <c r="BB59" i="15"/>
  <c r="BD58" i="15"/>
  <c r="BC58" i="15"/>
  <c r="BB58" i="15"/>
  <c r="BD57" i="15"/>
  <c r="BC57" i="15"/>
  <c r="BB57" i="15"/>
  <c r="BD56" i="15"/>
  <c r="BD51" i="15"/>
  <c r="BC51" i="15"/>
  <c r="BB51" i="15"/>
  <c r="BD50" i="15"/>
  <c r="BC50" i="15"/>
  <c r="BB50" i="15"/>
  <c r="BD49" i="15"/>
  <c r="BC49" i="15"/>
  <c r="BB49" i="15"/>
  <c r="BD48" i="15"/>
  <c r="BC48" i="15"/>
  <c r="BB48" i="15"/>
  <c r="BD47" i="15"/>
  <c r="BB47" i="15"/>
  <c r="BD46" i="15"/>
  <c r="BB46" i="15"/>
  <c r="BD45" i="15"/>
  <c r="BD40" i="15"/>
  <c r="BC39" i="15"/>
  <c r="BD39" i="15"/>
  <c r="BD38" i="15"/>
  <c r="BC37" i="15"/>
  <c r="BD37" i="15"/>
  <c r="BD36" i="15"/>
  <c r="BC35" i="15"/>
  <c r="BD35" i="15"/>
  <c r="BD34" i="15"/>
  <c r="BC34" i="15"/>
  <c r="BD29" i="15"/>
  <c r="BB29" i="15"/>
  <c r="BC29" i="15"/>
  <c r="BD28" i="15"/>
  <c r="BD27" i="15"/>
  <c r="BD26" i="15"/>
  <c r="BB26" i="15"/>
  <c r="BD25" i="15"/>
  <c r="BD24" i="15"/>
  <c r="BB24" i="15"/>
  <c r="BC24" i="15"/>
  <c r="BD23" i="15"/>
  <c r="BB18" i="15"/>
  <c r="BD18" i="15"/>
  <c r="BC18" i="15"/>
  <c r="BD17" i="15"/>
  <c r="BB17" i="15"/>
  <c r="BD16" i="15"/>
  <c r="BD15" i="15"/>
  <c r="BD14" i="15"/>
  <c r="BB14" i="15"/>
  <c r="BB13" i="15"/>
  <c r="BD13" i="15"/>
  <c r="BD12" i="15"/>
  <c r="AR40" i="15"/>
  <c r="AP40" i="15"/>
  <c r="AO40" i="15"/>
  <c r="AL40" i="15"/>
  <c r="AR39" i="15"/>
  <c r="AP39" i="15"/>
  <c r="AO39" i="15"/>
  <c r="AL39" i="15"/>
  <c r="AR37" i="15"/>
  <c r="AP37" i="15"/>
  <c r="AO37" i="15"/>
  <c r="AL37" i="15"/>
  <c r="AR35" i="15"/>
  <c r="AQ35" i="15"/>
  <c r="AP35" i="15"/>
  <c r="AO35" i="15"/>
  <c r="AN35" i="15"/>
  <c r="AM35" i="15"/>
  <c r="AL35" i="15"/>
  <c r="AR34" i="15"/>
  <c r="AQ34" i="15"/>
  <c r="AP34" i="15"/>
  <c r="AO34" i="15"/>
  <c r="AN34" i="15"/>
  <c r="AM34" i="15"/>
  <c r="AL34" i="15"/>
  <c r="AR29" i="15"/>
  <c r="AQ29" i="15"/>
  <c r="AP29" i="15"/>
  <c r="AO29" i="15"/>
  <c r="AN29" i="15"/>
  <c r="AM29" i="15"/>
  <c r="AL29" i="15"/>
  <c r="AR28" i="15"/>
  <c r="AQ28" i="15"/>
  <c r="AP28" i="15"/>
  <c r="AO28" i="15"/>
  <c r="AN28" i="15"/>
  <c r="AM28" i="15"/>
  <c r="AL28" i="15"/>
  <c r="AR26" i="15"/>
  <c r="AQ26" i="15"/>
  <c r="AP26" i="15"/>
  <c r="AO26" i="15"/>
  <c r="AN26" i="15"/>
  <c r="AM26" i="15"/>
  <c r="AL26" i="15"/>
  <c r="AR24" i="15"/>
  <c r="AQ24" i="15"/>
  <c r="AP24" i="15"/>
  <c r="AO24" i="15"/>
  <c r="AN24" i="15"/>
  <c r="AM24" i="15"/>
  <c r="AL24" i="15"/>
  <c r="AR23" i="15"/>
  <c r="AQ23" i="15"/>
  <c r="AP23" i="15"/>
  <c r="AO23" i="15"/>
  <c r="AN23" i="15"/>
  <c r="AM23" i="15"/>
  <c r="AL23" i="15"/>
  <c r="AN18" i="15"/>
  <c r="AM18" i="15"/>
  <c r="AL18" i="15"/>
  <c r="AL17" i="15"/>
  <c r="AK17" i="15" s="1"/>
  <c r="AL15" i="15"/>
  <c r="AK15" i="15" s="1"/>
  <c r="AL14" i="15"/>
  <c r="AI14" i="15" s="1"/>
  <c r="AL13" i="15"/>
  <c r="AK13" i="15" s="1"/>
  <c r="AK62" i="15"/>
  <c r="AJ62" i="15"/>
  <c r="AI62" i="15"/>
  <c r="AK61" i="15"/>
  <c r="AJ61" i="15"/>
  <c r="AI61" i="15"/>
  <c r="AK60" i="15"/>
  <c r="AJ60" i="15"/>
  <c r="AI60" i="15"/>
  <c r="AK59" i="15"/>
  <c r="AJ59" i="15"/>
  <c r="AI59" i="15"/>
  <c r="AK58" i="15"/>
  <c r="AJ58" i="15"/>
  <c r="AI58" i="15"/>
  <c r="AK57" i="15"/>
  <c r="AJ57" i="15"/>
  <c r="AI57" i="15"/>
  <c r="AK56" i="15"/>
  <c r="AK51" i="15"/>
  <c r="AJ51" i="15"/>
  <c r="AI51" i="15"/>
  <c r="AK50" i="15"/>
  <c r="AJ50" i="15"/>
  <c r="AI50" i="15"/>
  <c r="AK49" i="15"/>
  <c r="AJ49" i="15"/>
  <c r="AI49" i="15"/>
  <c r="AK48" i="15"/>
  <c r="AJ48" i="15"/>
  <c r="AI48" i="15"/>
  <c r="AK47" i="15"/>
  <c r="AI47" i="15"/>
  <c r="AK46" i="15"/>
  <c r="AI46" i="15"/>
  <c r="AK45" i="15"/>
  <c r="AK38" i="15"/>
  <c r="AK36" i="15"/>
  <c r="AK27" i="15"/>
  <c r="AK25" i="15"/>
  <c r="AK16" i="15"/>
  <c r="AK12" i="15"/>
  <c r="P57" i="15"/>
  <c r="Q57" i="15"/>
  <c r="R57" i="15"/>
  <c r="P58" i="15"/>
  <c r="Q58" i="15"/>
  <c r="R58" i="15"/>
  <c r="P59" i="15"/>
  <c r="Q59" i="15"/>
  <c r="R59" i="15"/>
  <c r="P60" i="15"/>
  <c r="Q60" i="15"/>
  <c r="R60" i="15"/>
  <c r="P61" i="15"/>
  <c r="Q61" i="15"/>
  <c r="R61" i="15"/>
  <c r="P62" i="15"/>
  <c r="Q62" i="15"/>
  <c r="R62" i="15"/>
  <c r="R56" i="15"/>
  <c r="P46" i="15"/>
  <c r="R46" i="15"/>
  <c r="P47" i="15"/>
  <c r="R47" i="15"/>
  <c r="P48" i="15"/>
  <c r="Q48" i="15"/>
  <c r="R48" i="15"/>
  <c r="P49" i="15"/>
  <c r="Q49" i="15"/>
  <c r="R49" i="15"/>
  <c r="P50" i="15"/>
  <c r="Q50" i="15"/>
  <c r="R50" i="15"/>
  <c r="P51" i="15"/>
  <c r="Q51" i="15"/>
  <c r="R51" i="15"/>
  <c r="R45" i="15"/>
  <c r="R36" i="15"/>
  <c r="R38" i="15"/>
  <c r="R25" i="15"/>
  <c r="R27" i="15"/>
  <c r="R16" i="15"/>
  <c r="R12" i="15"/>
  <c r="Y40" i="15"/>
  <c r="W40" i="15"/>
  <c r="V40" i="15"/>
  <c r="S40" i="15"/>
  <c r="Y39" i="15"/>
  <c r="W39" i="15"/>
  <c r="V39" i="15"/>
  <c r="S39" i="15"/>
  <c r="Y37" i="15"/>
  <c r="W37" i="15"/>
  <c r="V37" i="15"/>
  <c r="S37" i="15"/>
  <c r="Y35" i="15"/>
  <c r="X35" i="15"/>
  <c r="W35" i="15"/>
  <c r="V35" i="15"/>
  <c r="U35" i="15"/>
  <c r="T35" i="15"/>
  <c r="S35" i="15"/>
  <c r="Y34" i="15"/>
  <c r="X34" i="15"/>
  <c r="W34" i="15"/>
  <c r="V34" i="15"/>
  <c r="U34" i="15"/>
  <c r="T34" i="15"/>
  <c r="S34" i="15"/>
  <c r="Y29" i="15"/>
  <c r="X29" i="15"/>
  <c r="W29" i="15"/>
  <c r="V29" i="15"/>
  <c r="U29" i="15"/>
  <c r="T29" i="15"/>
  <c r="S29" i="15"/>
  <c r="Y28" i="15"/>
  <c r="X28" i="15"/>
  <c r="W28" i="15"/>
  <c r="V28" i="15"/>
  <c r="U28" i="15"/>
  <c r="T28" i="15"/>
  <c r="S28" i="15"/>
  <c r="Y26" i="15"/>
  <c r="X26" i="15"/>
  <c r="W26" i="15"/>
  <c r="V26" i="15"/>
  <c r="U26" i="15"/>
  <c r="T26" i="15"/>
  <c r="S26" i="15"/>
  <c r="Y24" i="15"/>
  <c r="X24" i="15"/>
  <c r="W24" i="15"/>
  <c r="V24" i="15"/>
  <c r="U24" i="15"/>
  <c r="T24" i="15"/>
  <c r="S24" i="15"/>
  <c r="Y23" i="15"/>
  <c r="X23" i="15"/>
  <c r="W23" i="15"/>
  <c r="V23" i="15"/>
  <c r="U23" i="15"/>
  <c r="T23" i="15"/>
  <c r="S23" i="15"/>
  <c r="W18" i="15"/>
  <c r="V18" i="15"/>
  <c r="U18" i="15"/>
  <c r="T18" i="15"/>
  <c r="S18" i="15"/>
  <c r="W17" i="15"/>
  <c r="V17" i="15"/>
  <c r="S17" i="15"/>
  <c r="W15" i="15"/>
  <c r="S15" i="15"/>
  <c r="S14" i="15"/>
  <c r="P14" i="15" s="1"/>
  <c r="S13" i="15"/>
  <c r="P13" i="15" s="1"/>
  <c r="W7" i="15"/>
  <c r="R7" i="15" s="1"/>
  <c r="W6" i="15"/>
  <c r="U6" i="15"/>
  <c r="S6" i="15"/>
  <c r="AI13" i="15" l="1"/>
  <c r="AJ23" i="15"/>
  <c r="AJ37" i="15"/>
  <c r="AK40" i="15"/>
  <c r="AK29" i="15"/>
  <c r="Q15" i="15"/>
  <c r="AI35" i="15"/>
  <c r="AI37" i="15"/>
  <c r="AJ40" i="15"/>
  <c r="AK14" i="15"/>
  <c r="P35" i="15"/>
  <c r="R40" i="15"/>
  <c r="P15" i="15"/>
  <c r="P26" i="15"/>
  <c r="R29" i="15"/>
  <c r="R34" i="15"/>
  <c r="R14" i="15"/>
  <c r="AI15" i="15"/>
  <c r="AK37" i="15"/>
  <c r="R26" i="15"/>
  <c r="P18" i="15"/>
  <c r="P24" i="15"/>
  <c r="P17" i="15"/>
  <c r="R23" i="15"/>
  <c r="P37" i="15"/>
  <c r="P40" i="15"/>
  <c r="R18" i="15"/>
  <c r="Q34" i="15"/>
  <c r="AJ24" i="15"/>
  <c r="AI29" i="15"/>
  <c r="P29" i="15"/>
  <c r="R37" i="15"/>
  <c r="AJ18" i="15"/>
  <c r="AK28" i="15"/>
  <c r="P28" i="15"/>
  <c r="P39" i="15"/>
  <c r="Q37" i="15"/>
  <c r="Q18" i="15"/>
  <c r="R17" i="15"/>
  <c r="Q40" i="15"/>
  <c r="AI17" i="15"/>
  <c r="AK26" i="15"/>
  <c r="AJ26" i="15"/>
  <c r="Q17" i="15"/>
  <c r="R13" i="15"/>
  <c r="R28" i="15"/>
  <c r="R24" i="15"/>
  <c r="AK18" i="15"/>
  <c r="AJ28" i="15"/>
  <c r="Q26" i="15"/>
  <c r="Q29" i="15"/>
  <c r="Q28" i="15"/>
  <c r="Q24" i="15"/>
  <c r="R39" i="15"/>
  <c r="R35" i="15"/>
  <c r="AK23" i="15"/>
  <c r="AI24" i="15"/>
  <c r="P23" i="15"/>
  <c r="Q39" i="15"/>
  <c r="Q35" i="15"/>
  <c r="R15" i="15"/>
  <c r="Q23" i="15"/>
  <c r="P34" i="15"/>
  <c r="AK34" i="15"/>
  <c r="AI39" i="15"/>
  <c r="AI26" i="15"/>
  <c r="AI23" i="15"/>
  <c r="BB34" i="15"/>
  <c r="BC26" i="15"/>
  <c r="BB35" i="15"/>
  <c r="BB23" i="15"/>
  <c r="BB28" i="15"/>
  <c r="BB40" i="15"/>
  <c r="BC23" i="15"/>
  <c r="BC28" i="15"/>
  <c r="BB37" i="15"/>
  <c r="BB39" i="15"/>
  <c r="BC40" i="15"/>
  <c r="AJ34" i="15"/>
  <c r="AJ39" i="15"/>
  <c r="AK35" i="15"/>
  <c r="AK39" i="15"/>
  <c r="AK24" i="15"/>
  <c r="AJ35" i="15"/>
  <c r="AJ29" i="15"/>
  <c r="AI18" i="15"/>
  <c r="AI28" i="15"/>
  <c r="AI40" i="15"/>
  <c r="AI34" i="15"/>
  <c r="P6" i="15"/>
  <c r="Q6" i="15"/>
  <c r="P7" i="15"/>
  <c r="Q7" i="15"/>
  <c r="R6" i="15"/>
  <c r="H76" i="14" l="1"/>
  <c r="G76" i="14"/>
  <c r="F76" i="14"/>
  <c r="E76" i="14"/>
  <c r="D76" i="14"/>
  <c r="C76" i="14"/>
  <c r="H75" i="14"/>
  <c r="G75" i="14"/>
  <c r="F75" i="14"/>
  <c r="E75" i="14"/>
  <c r="D75" i="14"/>
  <c r="C75" i="14"/>
  <c r="H74" i="14"/>
  <c r="G74" i="14"/>
  <c r="F74" i="14"/>
  <c r="E74" i="14"/>
  <c r="D74" i="14"/>
  <c r="C74" i="14"/>
  <c r="H62" i="14"/>
  <c r="G62" i="14"/>
  <c r="F62" i="14"/>
  <c r="E62" i="14"/>
  <c r="D62" i="14"/>
  <c r="C62" i="14"/>
  <c r="H61" i="14"/>
  <c r="G61" i="14"/>
  <c r="F61" i="14"/>
  <c r="E61" i="14"/>
  <c r="D61" i="14"/>
  <c r="C61" i="14"/>
  <c r="H60" i="14"/>
  <c r="G60" i="14"/>
  <c r="F60" i="14"/>
  <c r="E60" i="14"/>
  <c r="D60" i="14"/>
  <c r="C60" i="14"/>
  <c r="H43" i="14"/>
  <c r="G43" i="14"/>
  <c r="F43" i="14"/>
  <c r="E43" i="14"/>
  <c r="D43" i="14"/>
  <c r="C43" i="14"/>
  <c r="H42" i="14"/>
  <c r="G42" i="14"/>
  <c r="F42" i="14"/>
  <c r="E42" i="14"/>
  <c r="D42" i="14"/>
  <c r="C42" i="14"/>
  <c r="H41" i="14"/>
  <c r="G41" i="14"/>
  <c r="F41" i="14"/>
  <c r="E41" i="14"/>
  <c r="D41" i="14"/>
  <c r="C41" i="14"/>
  <c r="H24" i="14"/>
  <c r="G24" i="14"/>
  <c r="F24" i="14"/>
  <c r="E24" i="14"/>
  <c r="D24" i="14"/>
  <c r="C24" i="14"/>
  <c r="H23" i="14"/>
  <c r="G23" i="14"/>
  <c r="F23" i="14"/>
  <c r="E23" i="14"/>
  <c r="D23" i="14"/>
  <c r="C23" i="14"/>
  <c r="H22" i="14"/>
  <c r="G22" i="14"/>
  <c r="F22" i="14"/>
  <c r="E22" i="14"/>
  <c r="D22" i="14"/>
  <c r="C22" i="14"/>
  <c r="H5" i="14"/>
  <c r="G5" i="14"/>
  <c r="F5" i="14"/>
  <c r="E5" i="14"/>
  <c r="D5" i="14"/>
  <c r="C5" i="14"/>
  <c r="H4" i="14"/>
  <c r="G4" i="14"/>
  <c r="F4" i="14"/>
  <c r="E4" i="14"/>
  <c r="D4" i="14"/>
  <c r="C4" i="14"/>
  <c r="H3" i="14"/>
  <c r="G3" i="14"/>
  <c r="F3" i="14"/>
  <c r="E3" i="14"/>
  <c r="D3" i="14"/>
  <c r="C3" i="14"/>
</calcChain>
</file>

<file path=xl/sharedStrings.xml><?xml version="1.0" encoding="utf-8"?>
<sst xmlns="http://schemas.openxmlformats.org/spreadsheetml/2006/main" count="272" uniqueCount="49">
  <si>
    <t>Control</t>
  </si>
  <si>
    <t>eArch3.0</t>
  </si>
  <si>
    <t>eNpHR3.0</t>
  </si>
  <si>
    <t>Mean</t>
  </si>
  <si>
    <t>n</t>
  </si>
  <si>
    <t>St Dev</t>
  </si>
  <si>
    <t>Deactivation time constant (ms)</t>
  </si>
  <si>
    <t>Control Cells</t>
  </si>
  <si>
    <t>30 (475 nm)</t>
  </si>
  <si>
    <t>30 (575nm)</t>
  </si>
  <si>
    <t>LED Power mW/mm2</t>
  </si>
  <si>
    <t>Cell ID</t>
  </si>
  <si>
    <t>across irradiance levels</t>
  </si>
  <si>
    <t>Peak Photocurrent (pA)</t>
  </si>
  <si>
    <t xml:space="preserve"> Fig  8C</t>
  </si>
  <si>
    <t>Peak photocurrent (pA)</t>
  </si>
  <si>
    <t xml:space="preserve"> Fig  8D</t>
  </si>
  <si>
    <t>Steady-state photocurrent (pA)</t>
  </si>
  <si>
    <t xml:space="preserve"> Fig  8E</t>
  </si>
  <si>
    <t>Activation photocurrent time constant (ms)</t>
  </si>
  <si>
    <t>Inactivation photocurrent time constant (ms)</t>
  </si>
  <si>
    <t xml:space="preserve"> Fig  8F</t>
  </si>
  <si>
    <t xml:space="preserve"> Fig  8G</t>
  </si>
  <si>
    <t>Deactivation photocurrent time constant (ms)</t>
  </si>
  <si>
    <t>Fig 8 Sup B</t>
  </si>
  <si>
    <t>na</t>
  </si>
  <si>
    <t>Steady State Photocurrent (pA)</t>
  </si>
  <si>
    <t>Fig 8 Sup D</t>
  </si>
  <si>
    <t>Activation time constant (ms)</t>
  </si>
  <si>
    <t>Inactivation time constant (ms)</t>
  </si>
  <si>
    <t>Fig 8 Sup E</t>
  </si>
  <si>
    <t>Fig 8 Sup F</t>
  </si>
  <si>
    <t>Fig 8 Sup G</t>
  </si>
  <si>
    <t>Fig 8 Sup H</t>
  </si>
  <si>
    <t>Larval ECl -70mV</t>
  </si>
  <si>
    <t>cell ID</t>
  </si>
  <si>
    <t xml:space="preserve">cell ID </t>
  </si>
  <si>
    <t>V_Hold Level (mv)</t>
  </si>
  <si>
    <t>GtACR1 peak photocurrent during different membrane holding potentials (nA)</t>
  </si>
  <si>
    <t>Embryonic ECl -50mV</t>
  </si>
  <si>
    <t xml:space="preserve">ECl </t>
  </si>
  <si>
    <t>mv *</t>
  </si>
  <si>
    <t>* mV values interpolated at Y = 0 nA</t>
  </si>
  <si>
    <t>GtACR1_Larval</t>
  </si>
  <si>
    <t>GtACR2_Embryonic</t>
  </si>
  <si>
    <t>GtACR1_Embryonic</t>
  </si>
  <si>
    <t xml:space="preserve">GtACR2 Embryonic </t>
  </si>
  <si>
    <t xml:space="preserve">GtACR1 Embryonic </t>
  </si>
  <si>
    <t>GtACR1 Larval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</si>
</sst>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B54FD"/>
        <bgColor indexed="64"/>
      </patternFill>
    </fill>
    <fill>
      <patternFill patternType="solid">
        <fgColor rgb="FF1FC28D"/>
        <bgColor indexed="64"/>
      </patternFill>
    </fill>
    <fill>
      <patternFill patternType="solid">
        <fgColor rgb="FF8AC6AF"/>
        <bgColor indexed="64"/>
      </patternFill>
    </fill>
    <fill>
      <patternFill patternType="solid">
        <fgColor rgb="FFFEA552"/>
        <bgColor indexed="64"/>
      </patternFill>
    </fill>
    <fill>
      <patternFill patternType="solid">
        <fgColor rgb="FFE0455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0" fillId="0" borderId="6" xfId="0" applyBorder="1"/>
    <xf numFmtId="1" fontId="0" fillId="0" borderId="2" xfId="0" applyNumberFormat="1" applyBorder="1"/>
    <xf numFmtId="2" fontId="0" fillId="0" borderId="3" xfId="0" applyNumberFormat="1" applyBorder="1"/>
    <xf numFmtId="0" fontId="0" fillId="0" borderId="3" xfId="0" applyBorder="1"/>
    <xf numFmtId="1" fontId="0" fillId="0" borderId="7" xfId="0" applyNumberFormat="1" applyBorder="1"/>
    <xf numFmtId="2" fontId="0" fillId="0" borderId="1" xfId="0" applyNumberFormat="1" applyBorder="1"/>
    <xf numFmtId="0" fontId="0" fillId="0" borderId="8" xfId="0" applyBorder="1"/>
    <xf numFmtId="0" fontId="0" fillId="0" borderId="7" xfId="0" applyFill="1" applyBorder="1"/>
    <xf numFmtId="0" fontId="0" fillId="0" borderId="1" xfId="0" applyFill="1" applyBorder="1"/>
    <xf numFmtId="0" fontId="0" fillId="0" borderId="8" xfId="0" applyFill="1" applyBorder="1"/>
    <xf numFmtId="1" fontId="0" fillId="0" borderId="5" xfId="0" applyNumberFormat="1" applyBorder="1"/>
    <xf numFmtId="0" fontId="0" fillId="0" borderId="6" xfId="0" applyFill="1" applyBorder="1"/>
    <xf numFmtId="2" fontId="0" fillId="0" borderId="0" xfId="0" applyNumberFormat="1" applyBorder="1"/>
    <xf numFmtId="2" fontId="0" fillId="0" borderId="6" xfId="0" applyNumberFormat="1" applyFill="1" applyBorder="1"/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2" fontId="0" fillId="0" borderId="3" xfId="0" applyNumberFormat="1" applyFill="1" applyBorder="1"/>
    <xf numFmtId="2" fontId="0" fillId="0" borderId="0" xfId="0" applyNumberFormat="1" applyFill="1" applyBorder="1"/>
    <xf numFmtId="2" fontId="0" fillId="0" borderId="1" xfId="0" applyNumberFormat="1" applyFill="1" applyBorder="1"/>
    <xf numFmtId="1" fontId="0" fillId="0" borderId="0" xfId="0" applyNumberFormat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" fontId="0" fillId="0" borderId="0" xfId="0" applyNumberFormat="1" applyFill="1" applyBorder="1"/>
    <xf numFmtId="0" fontId="0" fillId="0" borderId="5" xfId="0" applyFill="1" applyBorder="1"/>
    <xf numFmtId="1" fontId="0" fillId="0" borderId="5" xfId="0" applyNumberFormat="1" applyFill="1" applyBorder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6" xfId="0" applyFont="1" applyBorder="1"/>
    <xf numFmtId="0" fontId="5" fillId="0" borderId="1" xfId="0" applyFont="1" applyBorder="1"/>
    <xf numFmtId="0" fontId="0" fillId="0" borderId="5" xfId="0" applyBorder="1"/>
    <xf numFmtId="0" fontId="0" fillId="0" borderId="7" xfId="0" applyBorder="1"/>
    <xf numFmtId="0" fontId="7" fillId="0" borderId="0" xfId="0" applyFont="1"/>
    <xf numFmtId="0" fontId="5" fillId="0" borderId="8" xfId="0" applyFont="1" applyBorder="1"/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5" xfId="0" applyFont="1" applyBorder="1"/>
    <xf numFmtId="0" fontId="0" fillId="0" borderId="0" xfId="0" applyFill="1" applyBorder="1" applyAlignment="1">
      <alignment vertical="center"/>
    </xf>
    <xf numFmtId="0" fontId="8" fillId="0" borderId="12" xfId="0" applyFont="1" applyBorder="1"/>
    <xf numFmtId="0" fontId="0" fillId="0" borderId="12" xfId="0" applyBorder="1"/>
    <xf numFmtId="0" fontId="0" fillId="0" borderId="12" xfId="0" applyFill="1" applyBorder="1"/>
    <xf numFmtId="0" fontId="1" fillId="0" borderId="0" xfId="0" applyFont="1" applyFill="1" applyBorder="1" applyAlignment="1"/>
    <xf numFmtId="0" fontId="0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1" xfId="0" applyFill="1" applyBorder="1"/>
    <xf numFmtId="1" fontId="0" fillId="0" borderId="4" xfId="0" applyNumberFormat="1" applyBorder="1"/>
    <xf numFmtId="1" fontId="0" fillId="0" borderId="6" xfId="0" applyNumberFormat="1" applyBorder="1"/>
    <xf numFmtId="1" fontId="0" fillId="0" borderId="8" xfId="0" applyNumberFormat="1" applyBorder="1"/>
    <xf numFmtId="0" fontId="0" fillId="0" borderId="2" xfId="0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8" xfId="0" applyFont="1" applyFill="1" applyBorder="1"/>
    <xf numFmtId="1" fontId="0" fillId="0" borderId="6" xfId="0" applyNumberFormat="1" applyFill="1" applyBorder="1"/>
    <xf numFmtId="2" fontId="0" fillId="0" borderId="2" xfId="0" applyNumberFormat="1" applyFill="1" applyBorder="1"/>
    <xf numFmtId="2" fontId="8" fillId="0" borderId="4" xfId="0" applyNumberFormat="1" applyFont="1" applyFill="1" applyBorder="1"/>
    <xf numFmtId="2" fontId="0" fillId="0" borderId="5" xfId="0" applyNumberFormat="1" applyFill="1" applyBorder="1"/>
    <xf numFmtId="2" fontId="8" fillId="0" borderId="6" xfId="0" applyNumberFormat="1" applyFont="1" applyFill="1" applyBorder="1"/>
    <xf numFmtId="2" fontId="0" fillId="0" borderId="7" xfId="0" applyNumberFormat="1" applyFill="1" applyBorder="1"/>
    <xf numFmtId="2" fontId="8" fillId="0" borderId="8" xfId="0" applyNumberFormat="1" applyFont="1" applyFill="1" applyBorder="1"/>
    <xf numFmtId="1" fontId="0" fillId="0" borderId="14" xfId="0" applyNumberFormat="1" applyBorder="1"/>
    <xf numFmtId="1" fontId="0" fillId="0" borderId="15" xfId="0" applyNumberFormat="1" applyBorder="1"/>
    <xf numFmtId="1" fontId="0" fillId="0" borderId="15" xfId="0" applyNumberFormat="1" applyFill="1" applyBorder="1"/>
    <xf numFmtId="1" fontId="0" fillId="0" borderId="13" xfId="0" applyNumberFormat="1" applyBorder="1"/>
    <xf numFmtId="1" fontId="0" fillId="0" borderId="4" xfId="0" applyNumberFormat="1" applyFill="1" applyBorder="1"/>
    <xf numFmtId="1" fontId="0" fillId="0" borderId="8" xfId="0" applyNumberFormat="1" applyFill="1" applyBorder="1"/>
    <xf numFmtId="2" fontId="0" fillId="0" borderId="2" xfId="0" applyNumberFormat="1" applyBorder="1"/>
    <xf numFmtId="2" fontId="0" fillId="0" borderId="5" xfId="0" applyNumberFormat="1" applyBorder="1"/>
    <xf numFmtId="2" fontId="0" fillId="0" borderId="7" xfId="0" applyNumberFormat="1" applyBorder="1"/>
    <xf numFmtId="0" fontId="0" fillId="0" borderId="2" xfId="0" applyBorder="1"/>
    <xf numFmtId="0" fontId="8" fillId="0" borderId="0" xfId="0" applyFont="1" applyFill="1" applyBorder="1"/>
    <xf numFmtId="0" fontId="0" fillId="0" borderId="0" xfId="0" applyFill="1" applyBorder="1" applyAlignment="1">
      <alignment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/>
    <xf numFmtId="0" fontId="7" fillId="0" borderId="1" xfId="0" applyFont="1" applyFill="1" applyBorder="1"/>
    <xf numFmtId="0" fontId="7" fillId="0" borderId="12" xfId="0" applyFont="1" applyFill="1" applyBorder="1"/>
    <xf numFmtId="0" fontId="7" fillId="0" borderId="3" xfId="0" applyFont="1" applyFill="1" applyBorder="1"/>
    <xf numFmtId="0" fontId="7" fillId="0" borderId="0" xfId="0" applyFont="1" applyFill="1" applyBorder="1"/>
    <xf numFmtId="2" fontId="7" fillId="0" borderId="3" xfId="0" applyNumberFormat="1" applyFont="1" applyFill="1" applyBorder="1"/>
    <xf numFmtId="2" fontId="7" fillId="0" borderId="0" xfId="0" applyNumberFormat="1" applyFont="1" applyFill="1" applyBorder="1"/>
    <xf numFmtId="2" fontId="7" fillId="0" borderId="1" xfId="0" applyNumberFormat="1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" fontId="11" fillId="0" borderId="0" xfId="0" applyNumberFormat="1" applyFont="1" applyBorder="1"/>
    <xf numFmtId="2" fontId="11" fillId="0" borderId="0" xfId="0" applyNumberFormat="1" applyFont="1" applyBorder="1"/>
    <xf numFmtId="2" fontId="11" fillId="0" borderId="6" xfId="0" applyNumberFormat="1" applyFont="1" applyBorder="1"/>
    <xf numFmtId="0" fontId="11" fillId="0" borderId="0" xfId="0" applyFont="1" applyBorder="1"/>
    <xf numFmtId="0" fontId="11" fillId="0" borderId="6" xfId="0" applyFont="1" applyBorder="1"/>
    <xf numFmtId="2" fontId="11" fillId="0" borderId="1" xfId="0" applyNumberFormat="1" applyFont="1" applyBorder="1"/>
    <xf numFmtId="2" fontId="11" fillId="0" borderId="8" xfId="0" applyNumberFormat="1" applyFont="1" applyBorder="1"/>
    <xf numFmtId="1" fontId="11" fillId="0" borderId="15" xfId="0" applyNumberFormat="1" applyFont="1" applyBorder="1"/>
    <xf numFmtId="1" fontId="11" fillId="0" borderId="13" xfId="0" applyNumberFormat="1" applyFont="1" applyBorder="1"/>
    <xf numFmtId="2" fontId="11" fillId="0" borderId="5" xfId="0" applyNumberFormat="1" applyFont="1" applyBorder="1"/>
    <xf numFmtId="1" fontId="11" fillId="0" borderId="6" xfId="0" applyNumberFormat="1" applyFont="1" applyBorder="1"/>
    <xf numFmtId="2" fontId="11" fillId="0" borderId="7" xfId="0" applyNumberFormat="1" applyFont="1" applyBorder="1"/>
    <xf numFmtId="1" fontId="11" fillId="0" borderId="8" xfId="0" applyNumberFormat="1" applyFont="1" applyBorder="1"/>
    <xf numFmtId="0" fontId="11" fillId="0" borderId="12" xfId="0" applyFont="1" applyFill="1" applyBorder="1"/>
    <xf numFmtId="0" fontId="11" fillId="0" borderId="12" xfId="0" applyFont="1" applyBorder="1"/>
    <xf numFmtId="0" fontId="5" fillId="0" borderId="0" xfId="0" applyFont="1"/>
    <xf numFmtId="1" fontId="10" fillId="0" borderId="7" xfId="0" applyNumberFormat="1" applyFont="1" applyBorder="1"/>
    <xf numFmtId="1" fontId="10" fillId="0" borderId="1" xfId="0" applyNumberFormat="1" applyFont="1" applyBorder="1"/>
    <xf numFmtId="1" fontId="10" fillId="0" borderId="8" xfId="0" applyNumberFormat="1" applyFont="1" applyBorder="1"/>
    <xf numFmtId="0" fontId="0" fillId="0" borderId="13" xfId="0" applyBorder="1" applyAlignment="1">
      <alignment horizontal="center" vertical="center"/>
    </xf>
    <xf numFmtId="0" fontId="13" fillId="5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Fill="1" applyBorder="1"/>
    <xf numFmtId="0" fontId="0" fillId="0" borderId="0" xfId="0" applyBorder="1" applyAlignment="1">
      <alignment horizontal="center"/>
    </xf>
    <xf numFmtId="0" fontId="11" fillId="0" borderId="9" xfId="0" applyFont="1" applyBorder="1"/>
    <xf numFmtId="0" fontId="2" fillId="0" borderId="6" xfId="0" applyFont="1" applyBorder="1" applyAlignment="1">
      <alignment horizontal="center"/>
    </xf>
    <xf numFmtId="0" fontId="11" fillId="0" borderId="6" xfId="0" applyFont="1" applyFill="1" applyBorder="1"/>
    <xf numFmtId="0" fontId="11" fillId="0" borderId="3" xfId="0" applyFont="1" applyBorder="1"/>
    <xf numFmtId="0" fontId="11" fillId="0" borderId="4" xfId="0" applyFont="1" applyBorder="1"/>
    <xf numFmtId="0" fontId="13" fillId="5" borderId="6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1" fontId="10" fillId="0" borderId="5" xfId="0" applyNumberFormat="1" applyFont="1" applyBorder="1"/>
    <xf numFmtId="1" fontId="10" fillId="0" borderId="0" xfId="0" applyNumberFormat="1" applyFont="1" applyBorder="1"/>
    <xf numFmtId="1" fontId="10" fillId="0" borderId="6" xfId="0" applyNumberFormat="1" applyFont="1" applyBorder="1"/>
    <xf numFmtId="1" fontId="11" fillId="5" borderId="7" xfId="0" applyNumberFormat="1" applyFont="1" applyFill="1" applyBorder="1"/>
    <xf numFmtId="1" fontId="11" fillId="6" borderId="5" xfId="0" applyNumberFormat="1" applyFont="1" applyFill="1" applyBorder="1"/>
    <xf numFmtId="0" fontId="4" fillId="2" borderId="2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2" borderId="5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1" fillId="8" borderId="9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AC6AF"/>
      <color rgb="FF1FC28D"/>
      <color rgb="FFE04559"/>
      <color rgb="FFFEA552"/>
      <color rgb="FF2B54FD"/>
      <color rgb="FFE32006"/>
      <color rgb="FFAFCE34"/>
      <color rgb="FF25CFA0"/>
      <color rgb="FF4235FF"/>
      <color rgb="FFDF67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12E70-2701-6744-B724-F9ECC47634DA}">
  <dimension ref="A1:H89"/>
  <sheetViews>
    <sheetView topLeftCell="A2" workbookViewId="0">
      <selection activeCell="K10" sqref="K10"/>
    </sheetView>
  </sheetViews>
  <sheetFormatPr baseColWidth="10" defaultRowHeight="16" x14ac:dyDescent="0.2"/>
  <cols>
    <col min="4" max="4" width="17" customWidth="1"/>
    <col min="5" max="5" width="14.33203125" customWidth="1"/>
    <col min="6" max="6" width="14" customWidth="1"/>
  </cols>
  <sheetData>
    <row r="1" spans="1:8" ht="16" customHeight="1" x14ac:dyDescent="0.2">
      <c r="A1" s="133" t="s">
        <v>14</v>
      </c>
      <c r="B1" s="136" t="s">
        <v>15</v>
      </c>
      <c r="C1" s="136"/>
      <c r="D1" s="136"/>
      <c r="E1" s="136"/>
      <c r="F1" s="136"/>
      <c r="G1" s="136"/>
      <c r="H1" s="137"/>
    </row>
    <row r="2" spans="1:8" x14ac:dyDescent="0.2">
      <c r="A2" s="134"/>
      <c r="B2" s="1"/>
      <c r="C2" s="45" t="s">
        <v>0</v>
      </c>
      <c r="D2" s="45" t="s">
        <v>44</v>
      </c>
      <c r="E2" s="45" t="s">
        <v>43</v>
      </c>
      <c r="F2" s="45" t="s">
        <v>45</v>
      </c>
      <c r="G2" s="45" t="s">
        <v>1</v>
      </c>
      <c r="H2" s="46" t="s">
        <v>2</v>
      </c>
    </row>
    <row r="3" spans="1:8" x14ac:dyDescent="0.2">
      <c r="A3" s="134"/>
      <c r="B3" s="32" t="s">
        <v>3</v>
      </c>
      <c r="C3" s="33">
        <f t="shared" ref="C3:H3" si="0">AVERAGE(C6:C18)</f>
        <v>-8.5750608428571429</v>
      </c>
      <c r="D3" s="33">
        <f t="shared" si="0"/>
        <v>-837.39034600000014</v>
      </c>
      <c r="E3" s="33">
        <f t="shared" si="0"/>
        <v>-250.77645999999999</v>
      </c>
      <c r="F3" s="33">
        <f t="shared" si="0"/>
        <v>-1177.9704385714285</v>
      </c>
      <c r="G3" s="33">
        <f t="shared" si="0"/>
        <v>156.13517899999999</v>
      </c>
      <c r="H3" s="34">
        <f t="shared" si="0"/>
        <v>92.193030530769249</v>
      </c>
    </row>
    <row r="4" spans="1:8" x14ac:dyDescent="0.2">
      <c r="A4" s="134"/>
      <c r="B4" s="32" t="s">
        <v>5</v>
      </c>
      <c r="C4" s="33">
        <f t="shared" ref="C4:H4" si="1">STDEV(C6:C18)</f>
        <v>8.6240029821092712</v>
      </c>
      <c r="D4" s="33">
        <f t="shared" si="1"/>
        <v>586.97587094321739</v>
      </c>
      <c r="E4" s="33">
        <f t="shared" si="1"/>
        <v>112.23401108104215</v>
      </c>
      <c r="F4" s="33">
        <f t="shared" si="1"/>
        <v>882.16265967758056</v>
      </c>
      <c r="G4" s="33">
        <f t="shared" si="1"/>
        <v>43.743960442959008</v>
      </c>
      <c r="H4" s="34">
        <f t="shared" si="1"/>
        <v>75.432108894072698</v>
      </c>
    </row>
    <row r="5" spans="1:8" x14ac:dyDescent="0.2">
      <c r="A5" s="134"/>
      <c r="B5" s="32" t="s">
        <v>4</v>
      </c>
      <c r="C5" s="33">
        <f t="shared" ref="C5:H5" si="2">COUNT(C6:C18)</f>
        <v>7</v>
      </c>
      <c r="D5" s="33">
        <f t="shared" si="2"/>
        <v>5</v>
      </c>
      <c r="E5" s="33">
        <f t="shared" si="2"/>
        <v>8</v>
      </c>
      <c r="F5" s="33">
        <f t="shared" si="2"/>
        <v>7</v>
      </c>
      <c r="G5" s="33">
        <f t="shared" si="2"/>
        <v>3</v>
      </c>
      <c r="H5" s="34">
        <f t="shared" si="2"/>
        <v>13</v>
      </c>
    </row>
    <row r="6" spans="1:8" x14ac:dyDescent="0.2">
      <c r="A6" s="134"/>
      <c r="B6" s="1"/>
      <c r="C6" s="36">
        <v>-6.9648747000000002</v>
      </c>
      <c r="D6" s="36">
        <v>-406.11425000000003</v>
      </c>
      <c r="E6" s="36">
        <v>-108.1118</v>
      </c>
      <c r="F6" s="36">
        <v>-393.66363999999999</v>
      </c>
      <c r="G6" s="36">
        <v>116.421284</v>
      </c>
      <c r="H6" s="37">
        <v>45.811746599999999</v>
      </c>
    </row>
    <row r="7" spans="1:8" x14ac:dyDescent="0.2">
      <c r="A7" s="134"/>
      <c r="B7" s="1"/>
      <c r="C7" s="38">
        <v>-11.643006</v>
      </c>
      <c r="D7" s="38">
        <v>-1185.3130000000001</v>
      </c>
      <c r="E7" s="38">
        <v>-322.46499999999997</v>
      </c>
      <c r="F7" s="38">
        <v>-820.51652000000001</v>
      </c>
      <c r="G7" s="38">
        <v>203.02246099999999</v>
      </c>
      <c r="H7" s="39">
        <v>63.484809900000002</v>
      </c>
    </row>
    <row r="8" spans="1:8" x14ac:dyDescent="0.2">
      <c r="A8" s="134"/>
      <c r="B8" s="1"/>
      <c r="C8" s="38">
        <v>-15.885831</v>
      </c>
      <c r="D8" s="38">
        <v>-353.57584000000003</v>
      </c>
      <c r="E8" s="38">
        <v>-101.21362999999999</v>
      </c>
      <c r="F8" s="38">
        <v>-1318.1672000000001</v>
      </c>
      <c r="G8" s="38">
        <v>148.961792</v>
      </c>
      <c r="H8" s="39">
        <v>286.78393599999998</v>
      </c>
    </row>
    <row r="9" spans="1:8" x14ac:dyDescent="0.2">
      <c r="A9" s="134"/>
      <c r="B9" s="1"/>
      <c r="C9" s="38">
        <v>-22.635999999999999</v>
      </c>
      <c r="D9" s="38">
        <v>-539.51184000000001</v>
      </c>
      <c r="E9" s="38">
        <v>-355.44736</v>
      </c>
      <c r="F9" s="38">
        <v>-3017.0733</v>
      </c>
      <c r="G9" s="38"/>
      <c r="H9" s="39">
        <v>75.373886900000002</v>
      </c>
    </row>
    <row r="10" spans="1:8" x14ac:dyDescent="0.2">
      <c r="A10" s="134"/>
      <c r="B10" s="1"/>
      <c r="C10" s="38">
        <v>-3.0738941999999998</v>
      </c>
      <c r="D10" s="38">
        <v>-1702.4367999999999</v>
      </c>
      <c r="E10" s="38">
        <v>-377.96638999999999</v>
      </c>
      <c r="F10" s="38">
        <v>-1303.9049</v>
      </c>
      <c r="G10" s="38"/>
      <c r="H10" s="39">
        <v>135.67152400000001</v>
      </c>
    </row>
    <row r="11" spans="1:8" x14ac:dyDescent="0.2">
      <c r="A11" s="134"/>
      <c r="B11" s="1"/>
      <c r="C11" s="38">
        <v>-1.06857</v>
      </c>
      <c r="D11" s="38"/>
      <c r="E11" s="38">
        <v>-337.01222999999999</v>
      </c>
      <c r="F11" s="38">
        <v>-547.23564999999996</v>
      </c>
      <c r="G11" s="38"/>
      <c r="H11" s="39">
        <v>59.603586200000002</v>
      </c>
    </row>
    <row r="12" spans="1:8" x14ac:dyDescent="0.2">
      <c r="A12" s="134"/>
      <c r="B12" s="1"/>
      <c r="C12" s="38">
        <v>1.24675</v>
      </c>
      <c r="D12" s="38"/>
      <c r="E12" s="38">
        <v>-179.80315999999999</v>
      </c>
      <c r="F12" s="38">
        <v>-845.23185999999998</v>
      </c>
      <c r="G12" s="38"/>
      <c r="H12" s="39">
        <v>31.2061195</v>
      </c>
    </row>
    <row r="13" spans="1:8" x14ac:dyDescent="0.2">
      <c r="A13" s="134"/>
      <c r="B13" s="1"/>
      <c r="C13" s="38"/>
      <c r="D13" s="38"/>
      <c r="E13" s="38">
        <v>-224.19211000000001</v>
      </c>
      <c r="F13" s="38"/>
      <c r="G13" s="38"/>
      <c r="H13" s="39">
        <v>34.117736800000003</v>
      </c>
    </row>
    <row r="14" spans="1:8" x14ac:dyDescent="0.2">
      <c r="A14" s="134"/>
      <c r="B14" s="1"/>
      <c r="C14" s="38"/>
      <c r="D14" s="38"/>
      <c r="E14" s="38"/>
      <c r="F14" s="38"/>
      <c r="G14" s="38"/>
      <c r="H14" s="39">
        <v>102.884939</v>
      </c>
    </row>
    <row r="15" spans="1:8" x14ac:dyDescent="0.2">
      <c r="A15" s="134"/>
      <c r="B15" s="1"/>
      <c r="C15" s="38"/>
      <c r="D15" s="38"/>
      <c r="E15" s="38"/>
      <c r="F15" s="38"/>
      <c r="G15" s="38"/>
      <c r="H15" s="39">
        <v>68.511054999999999</v>
      </c>
    </row>
    <row r="16" spans="1:8" x14ac:dyDescent="0.2">
      <c r="A16" s="134"/>
      <c r="B16" s="1"/>
      <c r="C16" s="38"/>
      <c r="D16" s="38"/>
      <c r="E16" s="38"/>
      <c r="F16" s="38"/>
      <c r="G16" s="38"/>
      <c r="H16" s="39">
        <v>31.5560036</v>
      </c>
    </row>
    <row r="17" spans="1:8" x14ac:dyDescent="0.2">
      <c r="A17" s="134"/>
      <c r="B17" s="1"/>
      <c r="C17" s="38"/>
      <c r="D17" s="38"/>
      <c r="E17" s="38"/>
      <c r="F17" s="38"/>
      <c r="G17" s="38"/>
      <c r="H17" s="39">
        <v>62.362825399999998</v>
      </c>
    </row>
    <row r="18" spans="1:8" x14ac:dyDescent="0.2">
      <c r="A18" s="135"/>
      <c r="B18" s="2"/>
      <c r="C18" s="40"/>
      <c r="D18" s="40"/>
      <c r="E18" s="40"/>
      <c r="F18" s="40"/>
      <c r="G18" s="40"/>
      <c r="H18" s="44">
        <v>201.14122800000001</v>
      </c>
    </row>
    <row r="20" spans="1:8" x14ac:dyDescent="0.2">
      <c r="A20" s="133" t="s">
        <v>16</v>
      </c>
      <c r="B20" s="136" t="s">
        <v>17</v>
      </c>
      <c r="C20" s="136"/>
      <c r="D20" s="136"/>
      <c r="E20" s="136"/>
      <c r="F20" s="136"/>
      <c r="G20" s="136"/>
      <c r="H20" s="137"/>
    </row>
    <row r="21" spans="1:8" x14ac:dyDescent="0.2">
      <c r="A21" s="134"/>
      <c r="B21" s="1"/>
      <c r="C21" s="45" t="s">
        <v>0</v>
      </c>
      <c r="D21" s="45" t="s">
        <v>44</v>
      </c>
      <c r="E21" s="45" t="s">
        <v>43</v>
      </c>
      <c r="F21" s="45" t="s">
        <v>45</v>
      </c>
      <c r="G21" s="45" t="s">
        <v>1</v>
      </c>
      <c r="H21" s="46" t="s">
        <v>2</v>
      </c>
    </row>
    <row r="22" spans="1:8" x14ac:dyDescent="0.2">
      <c r="A22" s="134"/>
      <c r="B22" s="32" t="s">
        <v>3</v>
      </c>
      <c r="C22" s="33" t="e">
        <f t="shared" ref="C22:H22" si="3">AVERAGE(C25:C37)</f>
        <v>#DIV/0!</v>
      </c>
      <c r="D22" s="33">
        <f t="shared" si="3"/>
        <v>-43.731484999999999</v>
      </c>
      <c r="E22" s="33">
        <f t="shared" si="3"/>
        <v>-41.334247124999997</v>
      </c>
      <c r="F22" s="33">
        <f t="shared" si="3"/>
        <v>-134.57130057142857</v>
      </c>
      <c r="G22" s="33">
        <f t="shared" si="3"/>
        <v>106.05395446666667</v>
      </c>
      <c r="H22" s="34">
        <f t="shared" si="3"/>
        <v>84.028912161538457</v>
      </c>
    </row>
    <row r="23" spans="1:8" x14ac:dyDescent="0.2">
      <c r="A23" s="134"/>
      <c r="B23" s="32" t="s">
        <v>5</v>
      </c>
      <c r="C23" s="33" t="e">
        <f t="shared" ref="C23:H23" si="4">STDEV(C25:C37)</f>
        <v>#DIV/0!</v>
      </c>
      <c r="D23" s="33">
        <f t="shared" si="4"/>
        <v>23.570002702236142</v>
      </c>
      <c r="E23" s="33">
        <f t="shared" si="4"/>
        <v>12.064789405313471</v>
      </c>
      <c r="F23" s="33">
        <f t="shared" si="4"/>
        <v>44.609227352658621</v>
      </c>
      <c r="G23" s="33">
        <f t="shared" si="4"/>
        <v>24.557576264744661</v>
      </c>
      <c r="H23" s="34">
        <f t="shared" si="4"/>
        <v>71.177164730906881</v>
      </c>
    </row>
    <row r="24" spans="1:8" x14ac:dyDescent="0.2">
      <c r="A24" s="134"/>
      <c r="B24" s="32" t="s">
        <v>4</v>
      </c>
      <c r="C24" s="33">
        <f t="shared" ref="C24:H24" si="5">COUNT(C25:C37)</f>
        <v>0</v>
      </c>
      <c r="D24" s="33">
        <f t="shared" si="5"/>
        <v>3</v>
      </c>
      <c r="E24" s="33">
        <f t="shared" si="5"/>
        <v>8</v>
      </c>
      <c r="F24" s="33">
        <f t="shared" si="5"/>
        <v>7</v>
      </c>
      <c r="G24" s="33">
        <f t="shared" si="5"/>
        <v>3</v>
      </c>
      <c r="H24" s="34">
        <f t="shared" si="5"/>
        <v>13</v>
      </c>
    </row>
    <row r="25" spans="1:8" x14ac:dyDescent="0.2">
      <c r="A25" s="134"/>
      <c r="B25" s="1"/>
      <c r="C25" s="36"/>
      <c r="D25" s="36">
        <v>-61.68432</v>
      </c>
      <c r="E25" s="36">
        <v>-64.038312000000005</v>
      </c>
      <c r="F25" s="36">
        <v>-192.49540999999999</v>
      </c>
      <c r="G25" s="36">
        <v>89.928978400000005</v>
      </c>
      <c r="H25" s="37">
        <v>40.859813699999997</v>
      </c>
    </row>
    <row r="26" spans="1:8" x14ac:dyDescent="0.2">
      <c r="A26" s="134"/>
      <c r="B26" s="1"/>
      <c r="C26" s="38"/>
      <c r="D26" s="38">
        <v>-52.469943000000001</v>
      </c>
      <c r="E26" s="38">
        <v>-32.221474000000001</v>
      </c>
      <c r="F26" s="38">
        <v>-111.24894</v>
      </c>
      <c r="G26" s="38">
        <v>134.31702200000001</v>
      </c>
      <c r="H26" s="39">
        <v>58.625190699999997</v>
      </c>
    </row>
    <row r="27" spans="1:8" x14ac:dyDescent="0.2">
      <c r="A27" s="134"/>
      <c r="B27" s="1"/>
      <c r="C27" s="38"/>
      <c r="D27" s="38">
        <v>-17.040192000000001</v>
      </c>
      <c r="E27" s="38">
        <v>-28.673347</v>
      </c>
      <c r="F27" s="38">
        <v>-170.4999</v>
      </c>
      <c r="G27" s="38">
        <v>93.915863000000002</v>
      </c>
      <c r="H27" s="39">
        <v>268.70447100000001</v>
      </c>
    </row>
    <row r="28" spans="1:8" x14ac:dyDescent="0.2">
      <c r="A28" s="134"/>
      <c r="B28" s="1"/>
      <c r="C28" s="38"/>
      <c r="D28" s="38"/>
      <c r="E28" s="38">
        <v>-41.609487999999999</v>
      </c>
      <c r="F28" s="38">
        <v>-156.63995</v>
      </c>
      <c r="G28" s="38"/>
      <c r="H28" s="39">
        <v>67.143540900000005</v>
      </c>
    </row>
    <row r="29" spans="1:8" x14ac:dyDescent="0.2">
      <c r="A29" s="134"/>
      <c r="B29" s="1"/>
      <c r="C29" s="38"/>
      <c r="D29" s="38"/>
      <c r="E29" s="38">
        <v>-37.999347</v>
      </c>
      <c r="F29" s="38">
        <v>-149.68619000000001</v>
      </c>
      <c r="G29" s="38"/>
      <c r="H29" s="39">
        <v>125.39595</v>
      </c>
    </row>
    <row r="30" spans="1:8" x14ac:dyDescent="0.2">
      <c r="A30" s="134"/>
      <c r="B30" s="1"/>
      <c r="C30" s="38"/>
      <c r="D30" s="38"/>
      <c r="E30" s="38">
        <v>-48.938495000000003</v>
      </c>
      <c r="F30" s="38">
        <v>-91.514214999999993</v>
      </c>
      <c r="G30" s="38"/>
      <c r="H30" s="39">
        <v>50.5316258</v>
      </c>
    </row>
    <row r="31" spans="1:8" x14ac:dyDescent="0.2">
      <c r="A31" s="134"/>
      <c r="B31" s="1"/>
      <c r="C31" s="38"/>
      <c r="D31" s="38"/>
      <c r="E31" s="38">
        <v>-29.213559</v>
      </c>
      <c r="F31" s="38">
        <v>-69.914499000000006</v>
      </c>
      <c r="G31" s="38"/>
      <c r="H31" s="39">
        <v>26.458805099999999</v>
      </c>
    </row>
    <row r="32" spans="1:8" x14ac:dyDescent="0.2">
      <c r="A32" s="134"/>
      <c r="B32" s="1"/>
      <c r="C32" s="38"/>
      <c r="D32" s="38"/>
      <c r="E32" s="38">
        <v>-47.979954999999997</v>
      </c>
      <c r="F32" s="38"/>
      <c r="G32" s="38"/>
      <c r="H32" s="39">
        <v>28.522644</v>
      </c>
    </row>
    <row r="33" spans="1:8" x14ac:dyDescent="0.2">
      <c r="A33" s="134"/>
      <c r="B33" s="1"/>
      <c r="C33" s="38"/>
      <c r="D33" s="38"/>
      <c r="E33" s="38"/>
      <c r="F33" s="38"/>
      <c r="G33" s="38"/>
      <c r="H33" s="39">
        <v>97.860402800000003</v>
      </c>
    </row>
    <row r="34" spans="1:8" x14ac:dyDescent="0.2">
      <c r="A34" s="134"/>
      <c r="B34" s="1"/>
      <c r="C34" s="38"/>
      <c r="D34" s="38"/>
      <c r="E34" s="38"/>
      <c r="F34" s="38"/>
      <c r="G34" s="38"/>
      <c r="H34" s="39">
        <v>60.970771800000001</v>
      </c>
    </row>
    <row r="35" spans="1:8" x14ac:dyDescent="0.2">
      <c r="A35" s="134"/>
      <c r="B35" s="1"/>
      <c r="C35" s="38"/>
      <c r="D35" s="38"/>
      <c r="E35" s="38"/>
      <c r="F35" s="38"/>
      <c r="G35" s="38"/>
      <c r="H35" s="39">
        <v>27.228000600000001</v>
      </c>
    </row>
    <row r="36" spans="1:8" x14ac:dyDescent="0.2">
      <c r="A36" s="134"/>
      <c r="B36" s="1"/>
      <c r="C36" s="38"/>
      <c r="D36" s="38"/>
      <c r="E36" s="38"/>
      <c r="F36" s="38"/>
      <c r="G36" s="38"/>
      <c r="H36" s="39">
        <v>56.303256699999999</v>
      </c>
    </row>
    <row r="37" spans="1:8" x14ac:dyDescent="0.2">
      <c r="A37" s="135"/>
      <c r="B37" s="2"/>
      <c r="C37" s="40"/>
      <c r="D37" s="40"/>
      <c r="E37" s="40"/>
      <c r="F37" s="40"/>
      <c r="G37" s="40"/>
      <c r="H37" s="44">
        <v>183.77138500000001</v>
      </c>
    </row>
    <row r="39" spans="1:8" x14ac:dyDescent="0.2">
      <c r="A39" s="133" t="s">
        <v>18</v>
      </c>
      <c r="B39" s="136" t="s">
        <v>19</v>
      </c>
      <c r="C39" s="136"/>
      <c r="D39" s="136"/>
      <c r="E39" s="136"/>
      <c r="F39" s="136"/>
      <c r="G39" s="136"/>
      <c r="H39" s="137"/>
    </row>
    <row r="40" spans="1:8" x14ac:dyDescent="0.2">
      <c r="A40" s="134"/>
      <c r="B40" s="1"/>
      <c r="C40" s="45" t="s">
        <v>0</v>
      </c>
      <c r="D40" s="45" t="s">
        <v>44</v>
      </c>
      <c r="E40" s="45" t="s">
        <v>43</v>
      </c>
      <c r="F40" s="45" t="s">
        <v>45</v>
      </c>
      <c r="G40" s="45" t="s">
        <v>1</v>
      </c>
      <c r="H40" s="46" t="s">
        <v>2</v>
      </c>
    </row>
    <row r="41" spans="1:8" x14ac:dyDescent="0.2">
      <c r="A41" s="134"/>
      <c r="B41" s="32" t="s">
        <v>3</v>
      </c>
      <c r="C41" s="33" t="e">
        <f t="shared" ref="C41:H41" si="6">AVERAGE(C44:C56)</f>
        <v>#DIV/0!</v>
      </c>
      <c r="D41" s="33">
        <f t="shared" si="6"/>
        <v>1.4728037380000001</v>
      </c>
      <c r="E41" s="33">
        <f t="shared" si="6"/>
        <v>21.273276753749997</v>
      </c>
      <c r="F41" s="33">
        <f t="shared" si="6"/>
        <v>21.916121677142858</v>
      </c>
      <c r="G41" s="33">
        <f t="shared" si="6"/>
        <v>21.773207033333335</v>
      </c>
      <c r="H41" s="34">
        <f t="shared" si="6"/>
        <v>18.964393192307689</v>
      </c>
    </row>
    <row r="42" spans="1:8" x14ac:dyDescent="0.2">
      <c r="A42" s="134"/>
      <c r="B42" s="32" t="s">
        <v>5</v>
      </c>
      <c r="C42" s="33" t="e">
        <f t="shared" ref="C42:H42" si="7">STDEV(C44:C56)</f>
        <v>#DIV/0!</v>
      </c>
      <c r="D42" s="33">
        <f t="shared" si="7"/>
        <v>1.033868695269657</v>
      </c>
      <c r="E42" s="33">
        <f t="shared" si="7"/>
        <v>17.19371827220689</v>
      </c>
      <c r="F42" s="33">
        <f t="shared" si="7"/>
        <v>19.696685918463626</v>
      </c>
      <c r="G42" s="33">
        <f t="shared" si="7"/>
        <v>5.0183826547242383</v>
      </c>
      <c r="H42" s="34">
        <f t="shared" si="7"/>
        <v>7.1965321406691043</v>
      </c>
    </row>
    <row r="43" spans="1:8" x14ac:dyDescent="0.2">
      <c r="A43" s="134"/>
      <c r="B43" s="32" t="s">
        <v>4</v>
      </c>
      <c r="C43" s="33">
        <f t="shared" ref="C43:H43" si="8">COUNT(C44:C56)</f>
        <v>0</v>
      </c>
      <c r="D43" s="33">
        <f t="shared" si="8"/>
        <v>5</v>
      </c>
      <c r="E43" s="33">
        <f t="shared" si="8"/>
        <v>8</v>
      </c>
      <c r="F43" s="33">
        <f t="shared" si="8"/>
        <v>7</v>
      </c>
      <c r="G43" s="33">
        <f t="shared" si="8"/>
        <v>3</v>
      </c>
      <c r="H43" s="34">
        <f t="shared" si="8"/>
        <v>13</v>
      </c>
    </row>
    <row r="44" spans="1:8" x14ac:dyDescent="0.2">
      <c r="A44" s="134"/>
      <c r="B44" s="1"/>
      <c r="C44" s="36"/>
      <c r="D44" s="36">
        <v>1.42432856</v>
      </c>
      <c r="E44" s="36">
        <v>37.050239300000001</v>
      </c>
      <c r="F44" s="36">
        <v>8.1465366600000007</v>
      </c>
      <c r="G44" s="36">
        <v>27.393193100000001</v>
      </c>
      <c r="H44" s="37">
        <v>16.017792199999999</v>
      </c>
    </row>
    <row r="45" spans="1:8" x14ac:dyDescent="0.2">
      <c r="A45" s="134"/>
      <c r="B45" s="1"/>
      <c r="C45" s="38"/>
      <c r="D45" s="38">
        <v>1.3462830800000001</v>
      </c>
      <c r="E45" s="38">
        <v>9.1858515700000005</v>
      </c>
      <c r="F45" s="38">
        <v>4.1854668000000004</v>
      </c>
      <c r="G45" s="38">
        <v>17.740110600000001</v>
      </c>
      <c r="H45" s="39">
        <v>22.450865700000001</v>
      </c>
    </row>
    <row r="46" spans="1:8" x14ac:dyDescent="0.2">
      <c r="A46" s="134"/>
      <c r="B46" s="1"/>
      <c r="C46" s="38"/>
      <c r="D46" s="38">
        <v>1.0269835</v>
      </c>
      <c r="E46" s="38">
        <v>9.8492510299999996</v>
      </c>
      <c r="F46" s="38">
        <v>7.0591814299999998</v>
      </c>
      <c r="G46" s="38">
        <v>20.1863174</v>
      </c>
      <c r="H46" s="39">
        <v>9.5393115999999996</v>
      </c>
    </row>
    <row r="47" spans="1:8" x14ac:dyDescent="0.2">
      <c r="A47" s="134"/>
      <c r="B47" s="1"/>
      <c r="C47" s="38"/>
      <c r="D47" s="38">
        <v>0.39293866999999999</v>
      </c>
      <c r="E47" s="38">
        <v>7.42998344</v>
      </c>
      <c r="F47" s="38">
        <v>38.797852300000002</v>
      </c>
      <c r="G47" s="38"/>
      <c r="H47" s="39">
        <v>10.220280600000001</v>
      </c>
    </row>
    <row r="48" spans="1:8" x14ac:dyDescent="0.2">
      <c r="A48" s="134"/>
      <c r="B48" s="1"/>
      <c r="C48" s="38"/>
      <c r="D48" s="38">
        <v>3.1734848800000002</v>
      </c>
      <c r="E48" s="38">
        <v>6.4621240899999997</v>
      </c>
      <c r="F48" s="38">
        <v>37.394240699999997</v>
      </c>
      <c r="G48" s="38"/>
      <c r="H48" s="39">
        <v>14.713695</v>
      </c>
    </row>
    <row r="49" spans="1:8" x14ac:dyDescent="0.2">
      <c r="A49" s="134"/>
      <c r="B49" s="1"/>
      <c r="C49" s="38"/>
      <c r="D49" s="38"/>
      <c r="E49" s="38">
        <v>12.581246399999999</v>
      </c>
      <c r="F49" s="38">
        <v>51.056633300000001</v>
      </c>
      <c r="G49" s="38"/>
      <c r="H49" s="39">
        <v>24.676240199999999</v>
      </c>
    </row>
    <row r="50" spans="1:8" x14ac:dyDescent="0.2">
      <c r="A50" s="134"/>
      <c r="B50" s="1"/>
      <c r="C50" s="38"/>
      <c r="D50" s="38"/>
      <c r="E50" s="38">
        <v>48.348942899999997</v>
      </c>
      <c r="F50" s="38">
        <v>6.7729405500000004</v>
      </c>
      <c r="G50" s="38"/>
      <c r="H50" s="39">
        <v>22.990218500000001</v>
      </c>
    </row>
    <row r="51" spans="1:8" x14ac:dyDescent="0.2">
      <c r="A51" s="134"/>
      <c r="B51" s="1"/>
      <c r="C51" s="38"/>
      <c r="D51" s="38"/>
      <c r="E51" s="38">
        <v>39.2785753</v>
      </c>
      <c r="F51" s="38"/>
      <c r="G51" s="38"/>
      <c r="H51" s="39">
        <v>13.898718799999999</v>
      </c>
    </row>
    <row r="52" spans="1:8" x14ac:dyDescent="0.2">
      <c r="A52" s="134"/>
      <c r="B52" s="1"/>
      <c r="C52" s="38"/>
      <c r="D52" s="38"/>
      <c r="E52" s="38"/>
      <c r="F52" s="38"/>
      <c r="G52" s="38"/>
      <c r="H52" s="39">
        <v>37.234876999999997</v>
      </c>
    </row>
    <row r="53" spans="1:8" x14ac:dyDescent="0.2">
      <c r="A53" s="134"/>
      <c r="B53" s="1"/>
      <c r="C53" s="38"/>
      <c r="D53" s="38"/>
      <c r="E53" s="38"/>
      <c r="F53" s="38"/>
      <c r="G53" s="38"/>
      <c r="H53" s="39">
        <v>21.135659199999999</v>
      </c>
    </row>
    <row r="54" spans="1:8" x14ac:dyDescent="0.2">
      <c r="A54" s="134"/>
      <c r="B54" s="1"/>
      <c r="C54" s="38"/>
      <c r="D54" s="38"/>
      <c r="E54" s="38"/>
      <c r="F54" s="38"/>
      <c r="G54" s="38"/>
      <c r="H54" s="39">
        <v>17.222611199999999</v>
      </c>
    </row>
    <row r="55" spans="1:8" x14ac:dyDescent="0.2">
      <c r="A55" s="134"/>
      <c r="B55" s="1"/>
      <c r="C55" s="38"/>
      <c r="D55" s="38"/>
      <c r="E55" s="38"/>
      <c r="F55" s="38"/>
      <c r="G55" s="38"/>
      <c r="H55" s="39">
        <v>17.975938299999999</v>
      </c>
    </row>
    <row r="56" spans="1:8" x14ac:dyDescent="0.2">
      <c r="A56" s="135"/>
      <c r="B56" s="2"/>
      <c r="C56" s="40"/>
      <c r="D56" s="40"/>
      <c r="E56" s="40"/>
      <c r="F56" s="40"/>
      <c r="G56" s="40"/>
      <c r="H56" s="44">
        <v>18.460903200000001</v>
      </c>
    </row>
    <row r="58" spans="1:8" ht="16" customHeight="1" x14ac:dyDescent="0.2">
      <c r="A58" s="160" t="s">
        <v>21</v>
      </c>
      <c r="B58" s="159" t="s">
        <v>20</v>
      </c>
      <c r="C58" s="136"/>
      <c r="D58" s="136"/>
      <c r="E58" s="136"/>
      <c r="F58" s="136"/>
      <c r="G58" s="136"/>
      <c r="H58" s="137"/>
    </row>
    <row r="59" spans="1:8" x14ac:dyDescent="0.2">
      <c r="A59" s="161"/>
      <c r="B59" s="41"/>
      <c r="C59" s="45" t="s">
        <v>0</v>
      </c>
      <c r="D59" s="45" t="s">
        <v>44</v>
      </c>
      <c r="E59" s="45" t="s">
        <v>43</v>
      </c>
      <c r="F59" s="45" t="s">
        <v>45</v>
      </c>
      <c r="G59" s="45" t="s">
        <v>1</v>
      </c>
      <c r="H59" s="46" t="s">
        <v>2</v>
      </c>
    </row>
    <row r="60" spans="1:8" x14ac:dyDescent="0.2">
      <c r="A60" s="161"/>
      <c r="B60" s="47" t="s">
        <v>3</v>
      </c>
      <c r="C60" s="33" t="e">
        <f t="shared" ref="C60:H60" si="9">AVERAGE(C63:C70)</f>
        <v>#DIV/0!</v>
      </c>
      <c r="D60" s="33">
        <f t="shared" si="9"/>
        <v>144.17119943333333</v>
      </c>
      <c r="E60" s="33">
        <f t="shared" si="9"/>
        <v>192.86531602499997</v>
      </c>
      <c r="F60" s="33">
        <f t="shared" si="9"/>
        <v>237.11572084285717</v>
      </c>
      <c r="G60" s="33">
        <f t="shared" si="9"/>
        <v>770.37185899999997</v>
      </c>
      <c r="H60" s="34" t="e">
        <f t="shared" si="9"/>
        <v>#DIV/0!</v>
      </c>
    </row>
    <row r="61" spans="1:8" x14ac:dyDescent="0.2">
      <c r="A61" s="161"/>
      <c r="B61" s="47" t="s">
        <v>5</v>
      </c>
      <c r="C61" s="33" t="e">
        <f t="shared" ref="C61:H61" si="10">STDEV(C63:C70)</f>
        <v>#DIV/0!</v>
      </c>
      <c r="D61" s="33">
        <f t="shared" si="10"/>
        <v>49.572030428963068</v>
      </c>
      <c r="E61" s="33">
        <f t="shared" si="10"/>
        <v>109.80236830319653</v>
      </c>
      <c r="F61" s="33">
        <f t="shared" si="10"/>
        <v>100.61306482003482</v>
      </c>
      <c r="G61" s="33">
        <f t="shared" si="10"/>
        <v>178.49762084681555</v>
      </c>
      <c r="H61" s="34" t="e">
        <f t="shared" si="10"/>
        <v>#DIV/0!</v>
      </c>
    </row>
    <row r="62" spans="1:8" x14ac:dyDescent="0.2">
      <c r="A62" s="161"/>
      <c r="B62" s="47" t="s">
        <v>4</v>
      </c>
      <c r="C62" s="33">
        <f t="shared" ref="C62:H62" si="11">COUNT(C63:C70)</f>
        <v>0</v>
      </c>
      <c r="D62" s="33">
        <f t="shared" si="11"/>
        <v>3</v>
      </c>
      <c r="E62" s="33">
        <f t="shared" si="11"/>
        <v>8</v>
      </c>
      <c r="F62" s="33">
        <f t="shared" si="11"/>
        <v>7</v>
      </c>
      <c r="G62" s="33">
        <f t="shared" si="11"/>
        <v>3</v>
      </c>
      <c r="H62" s="34">
        <f t="shared" si="11"/>
        <v>0</v>
      </c>
    </row>
    <row r="63" spans="1:8" x14ac:dyDescent="0.2">
      <c r="A63" s="161"/>
      <c r="B63" s="41"/>
      <c r="C63" s="36"/>
      <c r="D63" s="36">
        <v>186.84826799999999</v>
      </c>
      <c r="E63" s="36">
        <v>292.81194900000003</v>
      </c>
      <c r="F63" s="36">
        <v>389.648976</v>
      </c>
      <c r="G63" s="36">
        <v>669.24911699999996</v>
      </c>
      <c r="H63" s="37"/>
    </row>
    <row r="64" spans="1:8" x14ac:dyDescent="0.2">
      <c r="A64" s="161"/>
      <c r="B64" s="41"/>
      <c r="C64" s="38"/>
      <c r="D64" s="38">
        <v>89.796517300000005</v>
      </c>
      <c r="E64" s="38">
        <v>117.69167899999999</v>
      </c>
      <c r="F64" s="38">
        <v>271.140626</v>
      </c>
      <c r="G64" s="38">
        <v>665.39531199999999</v>
      </c>
      <c r="H64" s="39"/>
    </row>
    <row r="65" spans="1:8" x14ac:dyDescent="0.2">
      <c r="A65" s="161"/>
      <c r="B65" s="41"/>
      <c r="C65" s="38"/>
      <c r="D65" s="38">
        <v>155.86881299999999</v>
      </c>
      <c r="E65" s="38">
        <v>395.37834700000002</v>
      </c>
      <c r="F65" s="38">
        <v>199.739608</v>
      </c>
      <c r="G65" s="38">
        <v>976.47114799999997</v>
      </c>
      <c r="H65" s="39"/>
    </row>
    <row r="66" spans="1:8" x14ac:dyDescent="0.2">
      <c r="A66" s="161"/>
      <c r="B66" s="41"/>
      <c r="C66" s="38"/>
      <c r="D66" s="38"/>
      <c r="E66" s="38">
        <v>93.608469200000002</v>
      </c>
      <c r="F66" s="38">
        <v>86.631666899999999</v>
      </c>
      <c r="G66" s="38"/>
      <c r="H66" s="39"/>
    </row>
    <row r="67" spans="1:8" x14ac:dyDescent="0.2">
      <c r="A67" s="161"/>
      <c r="B67" s="41"/>
      <c r="C67" s="38"/>
      <c r="D67" s="38"/>
      <c r="E67" s="38">
        <v>107.33637400000001</v>
      </c>
      <c r="F67" s="38">
        <v>297.754729</v>
      </c>
      <c r="G67" s="38"/>
      <c r="H67" s="39"/>
    </row>
    <row r="68" spans="1:8" x14ac:dyDescent="0.2">
      <c r="A68" s="161"/>
      <c r="B68" s="41"/>
      <c r="C68" s="38"/>
      <c r="D68" s="38"/>
      <c r="E68" s="38">
        <v>149.93660800000001</v>
      </c>
      <c r="F68" s="38">
        <v>265.90186599999998</v>
      </c>
      <c r="G68" s="38"/>
      <c r="H68" s="39"/>
    </row>
    <row r="69" spans="1:8" x14ac:dyDescent="0.2">
      <c r="A69" s="161"/>
      <c r="B69" s="41"/>
      <c r="C69" s="38"/>
      <c r="D69" s="38"/>
      <c r="E69" s="38">
        <v>259.16245500000002</v>
      </c>
      <c r="F69" s="38">
        <v>148.99257399999999</v>
      </c>
      <c r="G69" s="38"/>
      <c r="H69" s="39"/>
    </row>
    <row r="70" spans="1:8" x14ac:dyDescent="0.2">
      <c r="A70" s="162"/>
      <c r="B70" s="42"/>
      <c r="C70" s="40"/>
      <c r="D70" s="40"/>
      <c r="E70" s="40">
        <v>126.996647</v>
      </c>
      <c r="F70" s="40"/>
      <c r="G70" s="40"/>
      <c r="H70" s="44"/>
    </row>
    <row r="72" spans="1:8" x14ac:dyDescent="0.2">
      <c r="A72" s="133" t="s">
        <v>22</v>
      </c>
      <c r="B72" s="136" t="s">
        <v>23</v>
      </c>
      <c r="C72" s="136"/>
      <c r="D72" s="136"/>
      <c r="E72" s="136"/>
      <c r="F72" s="136"/>
      <c r="G72" s="136"/>
      <c r="H72" s="137"/>
    </row>
    <row r="73" spans="1:8" x14ac:dyDescent="0.2">
      <c r="A73" s="134"/>
      <c r="B73" s="1"/>
      <c r="C73" s="45" t="s">
        <v>0</v>
      </c>
      <c r="D73" s="45" t="s">
        <v>44</v>
      </c>
      <c r="E73" s="45" t="s">
        <v>43</v>
      </c>
      <c r="F73" s="45" t="s">
        <v>45</v>
      </c>
      <c r="G73" s="45" t="s">
        <v>1</v>
      </c>
      <c r="H73" s="46" t="s">
        <v>2</v>
      </c>
    </row>
    <row r="74" spans="1:8" x14ac:dyDescent="0.2">
      <c r="A74" s="134"/>
      <c r="B74" s="32" t="s">
        <v>3</v>
      </c>
      <c r="C74" s="33" t="e">
        <f t="shared" ref="C74:H74" si="12">AVERAGE(C77:C89)</f>
        <v>#DIV/0!</v>
      </c>
      <c r="D74" s="33">
        <f t="shared" si="12"/>
        <v>51.048068699999995</v>
      </c>
      <c r="E74" s="33">
        <f t="shared" si="12"/>
        <v>188.31356928750003</v>
      </c>
      <c r="F74" s="33">
        <f t="shared" si="12"/>
        <v>97.021572242857133</v>
      </c>
      <c r="G74" s="33">
        <f t="shared" si="12"/>
        <v>30.336254666666665</v>
      </c>
      <c r="H74" s="34">
        <f t="shared" si="12"/>
        <v>20.526335028461538</v>
      </c>
    </row>
    <row r="75" spans="1:8" x14ac:dyDescent="0.2">
      <c r="A75" s="134"/>
      <c r="B75" s="32" t="s">
        <v>5</v>
      </c>
      <c r="C75" s="33" t="e">
        <f t="shared" ref="C75:H75" si="13">STDEV(C77:C89)</f>
        <v>#DIV/0!</v>
      </c>
      <c r="D75" s="33">
        <f t="shared" si="13"/>
        <v>10.842389066080413</v>
      </c>
      <c r="E75" s="33">
        <f t="shared" si="13"/>
        <v>70.62874014211576</v>
      </c>
      <c r="F75" s="33">
        <f t="shared" si="13"/>
        <v>39.343985849118404</v>
      </c>
      <c r="G75" s="33">
        <f t="shared" si="13"/>
        <v>5.1088049063996337</v>
      </c>
      <c r="H75" s="34">
        <f t="shared" si="13"/>
        <v>8.2626883706459253</v>
      </c>
    </row>
    <row r="76" spans="1:8" x14ac:dyDescent="0.2">
      <c r="A76" s="134"/>
      <c r="B76" s="32" t="s">
        <v>4</v>
      </c>
      <c r="C76" s="33">
        <f t="shared" ref="C76:H76" si="14">COUNT(C77:C89)</f>
        <v>0</v>
      </c>
      <c r="D76" s="33">
        <f t="shared" si="14"/>
        <v>3</v>
      </c>
      <c r="E76" s="33">
        <f t="shared" si="14"/>
        <v>8</v>
      </c>
      <c r="F76" s="33">
        <f t="shared" si="14"/>
        <v>7</v>
      </c>
      <c r="G76" s="33">
        <f t="shared" si="14"/>
        <v>3</v>
      </c>
      <c r="H76" s="34">
        <f t="shared" si="14"/>
        <v>13</v>
      </c>
    </row>
    <row r="77" spans="1:8" x14ac:dyDescent="0.2">
      <c r="A77" s="134"/>
      <c r="B77" s="1"/>
      <c r="C77" s="36"/>
      <c r="D77" s="36">
        <v>55.066321799999997</v>
      </c>
      <c r="E77" s="36">
        <v>69.6839753</v>
      </c>
      <c r="F77" s="36">
        <v>49.928516399999999</v>
      </c>
      <c r="G77" s="36">
        <v>32.468358700000003</v>
      </c>
      <c r="H77" s="37">
        <v>17.577286699999998</v>
      </c>
    </row>
    <row r="78" spans="1:8" x14ac:dyDescent="0.2">
      <c r="A78" s="134"/>
      <c r="B78" s="1"/>
      <c r="C78" s="38"/>
      <c r="D78" s="38">
        <v>59.307711900000001</v>
      </c>
      <c r="E78" s="38">
        <v>192.88123400000001</v>
      </c>
      <c r="F78" s="38">
        <v>112.196881</v>
      </c>
      <c r="G78" s="38">
        <v>34.033655899999999</v>
      </c>
      <c r="H78" s="39">
        <v>29.828853899999999</v>
      </c>
    </row>
    <row r="79" spans="1:8" x14ac:dyDescent="0.2">
      <c r="A79" s="134"/>
      <c r="B79" s="1"/>
      <c r="C79" s="38"/>
      <c r="D79" s="38">
        <v>38.7701724</v>
      </c>
      <c r="E79" s="38">
        <v>110.523675</v>
      </c>
      <c r="F79" s="38">
        <v>75.063337799999999</v>
      </c>
      <c r="G79" s="38">
        <v>24.5067494</v>
      </c>
      <c r="H79" s="39">
        <v>13.8278661</v>
      </c>
    </row>
    <row r="80" spans="1:8" x14ac:dyDescent="0.2">
      <c r="A80" s="134"/>
      <c r="B80" s="1"/>
      <c r="C80" s="38"/>
      <c r="D80" s="38"/>
      <c r="E80" s="38">
        <v>216.14424</v>
      </c>
      <c r="F80" s="38">
        <v>70.750682299999994</v>
      </c>
      <c r="G80" s="38"/>
      <c r="H80" s="39">
        <v>7.9912611900000003</v>
      </c>
    </row>
    <row r="81" spans="1:8" x14ac:dyDescent="0.2">
      <c r="A81" s="134"/>
      <c r="B81" s="1"/>
      <c r="C81" s="38"/>
      <c r="D81" s="38"/>
      <c r="E81" s="38">
        <v>278.14171700000003</v>
      </c>
      <c r="F81" s="38">
        <v>90.740186199999997</v>
      </c>
      <c r="G81" s="38"/>
      <c r="H81" s="39">
        <v>19.323062400000001</v>
      </c>
    </row>
    <row r="82" spans="1:8" x14ac:dyDescent="0.2">
      <c r="A82" s="134"/>
      <c r="B82" s="1"/>
      <c r="C82" s="38"/>
      <c r="D82" s="38"/>
      <c r="E82" s="38">
        <v>195.95045999999999</v>
      </c>
      <c r="F82" s="38">
        <v>171.000519</v>
      </c>
      <c r="G82" s="38"/>
      <c r="H82" s="39">
        <v>20.871661799999998</v>
      </c>
    </row>
    <row r="83" spans="1:8" x14ac:dyDescent="0.2">
      <c r="A83" s="134"/>
      <c r="B83" s="1"/>
      <c r="C83" s="38"/>
      <c r="D83" s="38"/>
      <c r="E83" s="38">
        <v>264.35257899999999</v>
      </c>
      <c r="F83" s="38">
        <v>109.470883</v>
      </c>
      <c r="G83" s="38"/>
      <c r="H83" s="39">
        <v>32.248947200000003</v>
      </c>
    </row>
    <row r="84" spans="1:8" x14ac:dyDescent="0.2">
      <c r="A84" s="134"/>
      <c r="B84" s="1"/>
      <c r="C84" s="38"/>
      <c r="D84" s="38"/>
      <c r="E84" s="38">
        <v>178.83067399999999</v>
      </c>
      <c r="F84" s="38"/>
      <c r="G84" s="38"/>
      <c r="H84" s="39">
        <v>32.050851600000001</v>
      </c>
    </row>
    <row r="85" spans="1:8" x14ac:dyDescent="0.2">
      <c r="A85" s="134"/>
      <c r="B85" s="1"/>
      <c r="C85" s="38"/>
      <c r="D85" s="38"/>
      <c r="E85" s="38"/>
      <c r="F85" s="38"/>
      <c r="G85" s="38"/>
      <c r="H85" s="39">
        <v>23.003094000000001</v>
      </c>
    </row>
    <row r="86" spans="1:8" x14ac:dyDescent="0.2">
      <c r="A86" s="134"/>
      <c r="B86" s="1"/>
      <c r="C86" s="38"/>
      <c r="D86" s="38"/>
      <c r="E86" s="38"/>
      <c r="F86" s="38"/>
      <c r="G86" s="38"/>
      <c r="H86" s="39">
        <v>22.365094599999999</v>
      </c>
    </row>
    <row r="87" spans="1:8" x14ac:dyDescent="0.2">
      <c r="A87" s="134"/>
      <c r="B87" s="1"/>
      <c r="C87" s="38"/>
      <c r="D87" s="38"/>
      <c r="E87" s="38"/>
      <c r="F87" s="38"/>
      <c r="G87" s="38"/>
      <c r="H87" s="39">
        <v>11.3176671</v>
      </c>
    </row>
    <row r="88" spans="1:8" x14ac:dyDescent="0.2">
      <c r="A88" s="134"/>
      <c r="B88" s="1"/>
      <c r="C88" s="38"/>
      <c r="D88" s="38"/>
      <c r="E88" s="38"/>
      <c r="F88" s="38"/>
      <c r="G88" s="38"/>
      <c r="H88" s="39">
        <v>9.6959367800000003</v>
      </c>
    </row>
    <row r="89" spans="1:8" x14ac:dyDescent="0.2">
      <c r="A89" s="135"/>
      <c r="B89" s="2"/>
      <c r="C89" s="40"/>
      <c r="D89" s="40"/>
      <c r="E89" s="40"/>
      <c r="F89" s="40"/>
      <c r="G89" s="40"/>
      <c r="H89" s="44">
        <v>26.740772</v>
      </c>
    </row>
  </sheetData>
  <mergeCells count="10">
    <mergeCell ref="B58:H58"/>
    <mergeCell ref="A58:A70"/>
    <mergeCell ref="A72:A89"/>
    <mergeCell ref="B72:H72"/>
    <mergeCell ref="B1:H1"/>
    <mergeCell ref="A1:A18"/>
    <mergeCell ref="A20:A37"/>
    <mergeCell ref="B20:H20"/>
    <mergeCell ref="A39:A56"/>
    <mergeCell ref="B39:H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72545-C914-2844-B413-15EED10F64FE}">
  <dimension ref="A1:DC62"/>
  <sheetViews>
    <sheetView tabSelected="1" topLeftCell="AR1" zoomScale="110" zoomScaleNormal="110" workbookViewId="0">
      <selection activeCell="AW15" sqref="AW15"/>
    </sheetView>
  </sheetViews>
  <sheetFormatPr baseColWidth="10" defaultRowHeight="16" x14ac:dyDescent="0.2"/>
  <cols>
    <col min="1" max="1" width="7.83203125" customWidth="1"/>
    <col min="2" max="2" width="11.83203125" customWidth="1"/>
    <col min="3" max="3" width="7.33203125" customWidth="1"/>
    <col min="4" max="4" width="7.6640625" customWidth="1"/>
    <col min="5" max="5" width="5.83203125" customWidth="1"/>
    <col min="6" max="6" width="7.6640625" customWidth="1"/>
    <col min="7" max="7" width="7.33203125" customWidth="1"/>
    <col min="8" max="8" width="7.5" customWidth="1"/>
    <col min="9" max="12" width="7" customWidth="1"/>
    <col min="14" max="14" width="7.5" customWidth="1"/>
    <col min="16" max="16" width="8.33203125" customWidth="1"/>
    <col min="17" max="17" width="8.5" customWidth="1"/>
    <col min="18" max="18" width="5" customWidth="1"/>
    <col min="19" max="19" width="7.1640625" customWidth="1"/>
    <col min="20" max="20" width="7.33203125" customWidth="1"/>
    <col min="21" max="21" width="7.5" customWidth="1"/>
    <col min="22" max="22" width="8.5" customWidth="1"/>
    <col min="23" max="23" width="7.1640625" customWidth="1"/>
    <col min="24" max="24" width="9.1640625" style="43" customWidth="1"/>
    <col min="25" max="25" width="8.33203125" customWidth="1"/>
    <col min="33" max="33" width="7.5" customWidth="1"/>
    <col min="35" max="35" width="8.33203125" customWidth="1"/>
    <col min="36" max="36" width="8.5" customWidth="1"/>
    <col min="37" max="37" width="5" customWidth="1"/>
    <col min="38" max="38" width="7.1640625" customWidth="1"/>
    <col min="39" max="39" width="7.33203125" customWidth="1"/>
    <col min="40" max="40" width="7.5" customWidth="1"/>
    <col min="41" max="41" width="7" customWidth="1"/>
    <col min="42" max="42" width="7.1640625" customWidth="1"/>
    <col min="43" max="43" width="7" customWidth="1"/>
    <col min="44" max="44" width="8.33203125" customWidth="1"/>
    <col min="52" max="52" width="7.5" customWidth="1"/>
    <col min="54" max="54" width="8.33203125" customWidth="1"/>
    <col min="55" max="55" width="8.5" customWidth="1"/>
    <col min="56" max="56" width="5" customWidth="1"/>
    <col min="57" max="57" width="7.1640625" customWidth="1"/>
    <col min="58" max="58" width="7.33203125" customWidth="1"/>
    <col min="59" max="59" width="7.5" customWidth="1"/>
    <col min="60" max="60" width="7" customWidth="1"/>
    <col min="61" max="61" width="7.1640625" customWidth="1"/>
    <col min="62" max="62" width="7" customWidth="1"/>
    <col min="63" max="63" width="8.33203125" customWidth="1"/>
    <col min="71" max="71" width="7.5" customWidth="1"/>
    <col min="73" max="73" width="8.33203125" customWidth="1"/>
    <col min="74" max="74" width="8.5" customWidth="1"/>
    <col min="75" max="75" width="5" customWidth="1"/>
    <col min="76" max="76" width="7.1640625" customWidth="1"/>
    <col min="77" max="77" width="7.33203125" customWidth="1"/>
    <col min="78" max="78" width="7.5" customWidth="1"/>
    <col min="79" max="79" width="7" customWidth="1"/>
    <col min="80" max="80" width="7.1640625" customWidth="1"/>
    <col min="81" max="81" width="7" customWidth="1"/>
    <col min="82" max="82" width="8.33203125" customWidth="1"/>
    <col min="90" max="90" width="7.5" customWidth="1"/>
    <col min="92" max="92" width="8.33203125" customWidth="1"/>
    <col min="93" max="93" width="8.5" customWidth="1"/>
    <col min="94" max="94" width="5" customWidth="1"/>
    <col min="95" max="95" width="7.1640625" customWidth="1"/>
    <col min="96" max="96" width="7.33203125" customWidth="1"/>
    <col min="97" max="97" width="7.5" customWidth="1"/>
    <col min="98" max="98" width="7" customWidth="1"/>
    <col min="99" max="99" width="7.1640625" customWidth="1"/>
    <col min="100" max="100" width="7" customWidth="1"/>
    <col min="101" max="101" width="8.33203125" customWidth="1"/>
  </cols>
  <sheetData>
    <row r="1" spans="1:107" ht="34" customHeight="1" x14ac:dyDescent="0.2">
      <c r="A1" s="133" t="s">
        <v>24</v>
      </c>
      <c r="B1" s="207" t="s">
        <v>38</v>
      </c>
      <c r="C1" s="207"/>
      <c r="D1" s="207"/>
      <c r="E1" s="207"/>
      <c r="F1" s="207"/>
      <c r="G1" s="207"/>
      <c r="H1" s="207"/>
      <c r="I1" s="207"/>
      <c r="J1" s="207"/>
      <c r="K1" s="95"/>
      <c r="L1" s="96"/>
      <c r="N1" s="133" t="s">
        <v>27</v>
      </c>
      <c r="O1" s="183" t="s">
        <v>13</v>
      </c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4"/>
      <c r="AG1" s="133" t="s">
        <v>30</v>
      </c>
      <c r="AH1" s="149" t="s">
        <v>26</v>
      </c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50"/>
      <c r="AZ1" s="133" t="s">
        <v>31</v>
      </c>
      <c r="BA1" s="149" t="s">
        <v>28</v>
      </c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50"/>
      <c r="BS1" s="133" t="s">
        <v>32</v>
      </c>
      <c r="BT1" s="149" t="s">
        <v>29</v>
      </c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50"/>
      <c r="CL1" s="133" t="s">
        <v>33</v>
      </c>
      <c r="CM1" s="149" t="s">
        <v>6</v>
      </c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50"/>
    </row>
    <row r="2" spans="1:107" x14ac:dyDescent="0.2">
      <c r="A2" s="134"/>
      <c r="B2" s="211" t="s">
        <v>39</v>
      </c>
      <c r="C2" s="212"/>
      <c r="D2" s="212"/>
      <c r="E2" s="212"/>
      <c r="F2" s="212"/>
      <c r="G2" s="212"/>
      <c r="H2" s="212"/>
      <c r="I2" s="212"/>
      <c r="J2" s="212"/>
      <c r="K2" s="117"/>
      <c r="L2" s="126"/>
      <c r="N2" s="154"/>
      <c r="O2" s="35"/>
      <c r="P2" s="35"/>
      <c r="Q2" s="35"/>
      <c r="R2" s="35"/>
      <c r="S2" s="35"/>
      <c r="T2" s="35"/>
      <c r="U2" s="35"/>
      <c r="V2" s="35"/>
      <c r="W2" s="35"/>
      <c r="X2" s="85"/>
      <c r="Y2" s="35"/>
      <c r="Z2" s="35"/>
      <c r="AA2" s="1"/>
      <c r="AB2" s="1"/>
      <c r="AC2" s="1"/>
      <c r="AD2" s="1"/>
      <c r="AE2" s="4"/>
      <c r="AG2" s="154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1"/>
      <c r="AU2" s="1"/>
      <c r="AV2" s="1"/>
      <c r="AW2" s="1"/>
      <c r="AX2" s="4"/>
      <c r="AZ2" s="154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1"/>
      <c r="BN2" s="1"/>
      <c r="BO2" s="1"/>
      <c r="BP2" s="1"/>
      <c r="BQ2" s="4"/>
      <c r="BS2" s="154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1"/>
      <c r="CG2" s="1"/>
      <c r="CH2" s="1"/>
      <c r="CI2" s="1"/>
      <c r="CJ2" s="4"/>
      <c r="CL2" s="154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1"/>
      <c r="CZ2" s="1"/>
      <c r="DA2" s="1"/>
      <c r="DB2" s="1"/>
      <c r="DC2" s="4"/>
    </row>
    <row r="3" spans="1:107" x14ac:dyDescent="0.2">
      <c r="A3" s="134"/>
      <c r="B3" s="205" t="s">
        <v>37</v>
      </c>
      <c r="C3" s="215" t="s">
        <v>3</v>
      </c>
      <c r="D3" s="217" t="s">
        <v>5</v>
      </c>
      <c r="E3" s="219" t="s">
        <v>4</v>
      </c>
      <c r="F3" s="208" t="s">
        <v>35</v>
      </c>
      <c r="G3" s="209"/>
      <c r="H3" s="209"/>
      <c r="I3" s="209"/>
      <c r="J3" s="210"/>
      <c r="K3" s="118"/>
      <c r="L3" s="122"/>
      <c r="N3" s="154"/>
      <c r="O3" s="167" t="s">
        <v>7</v>
      </c>
      <c r="P3" s="168"/>
      <c r="Q3" s="168"/>
      <c r="R3" s="168"/>
      <c r="S3" s="168"/>
      <c r="T3" s="168"/>
      <c r="U3" s="168"/>
      <c r="V3" s="168"/>
      <c r="W3" s="168"/>
      <c r="X3" s="168"/>
      <c r="Y3" s="169"/>
      <c r="Z3" s="1"/>
      <c r="AA3" s="1"/>
      <c r="AB3" s="1"/>
      <c r="AC3" s="1"/>
      <c r="AD3" s="1"/>
      <c r="AE3" s="4"/>
      <c r="AG3" s="154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1"/>
      <c r="AT3" s="1"/>
      <c r="AU3" s="1"/>
      <c r="AV3" s="1"/>
      <c r="AW3" s="1"/>
      <c r="AX3" s="4"/>
      <c r="AZ3" s="154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1"/>
      <c r="BM3" s="1"/>
      <c r="BN3" s="1"/>
      <c r="BO3" s="1"/>
      <c r="BP3" s="1"/>
      <c r="BQ3" s="4"/>
      <c r="BS3" s="154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1"/>
      <c r="CF3" s="1"/>
      <c r="CG3" s="1"/>
      <c r="CH3" s="1"/>
      <c r="CI3" s="1"/>
      <c r="CJ3" s="4"/>
      <c r="CL3" s="154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1"/>
      <c r="CY3" s="1"/>
      <c r="CZ3" s="1"/>
      <c r="DA3" s="1"/>
      <c r="DB3" s="1"/>
      <c r="DC3" s="4"/>
    </row>
    <row r="4" spans="1:107" x14ac:dyDescent="0.2">
      <c r="A4" s="134"/>
      <c r="B4" s="206"/>
      <c r="C4" s="216"/>
      <c r="D4" s="218"/>
      <c r="E4" s="220"/>
      <c r="F4" s="110">
        <v>45</v>
      </c>
      <c r="G4" s="110">
        <v>44</v>
      </c>
      <c r="H4" s="110">
        <v>152</v>
      </c>
      <c r="I4" s="110">
        <v>153</v>
      </c>
      <c r="J4" s="110">
        <v>155</v>
      </c>
      <c r="K4" s="119"/>
      <c r="L4" s="123"/>
      <c r="N4" s="154"/>
      <c r="O4" s="158" t="s">
        <v>10</v>
      </c>
      <c r="P4" s="144" t="s">
        <v>3</v>
      </c>
      <c r="Q4" s="144" t="s">
        <v>5</v>
      </c>
      <c r="R4" s="145" t="s">
        <v>4</v>
      </c>
      <c r="S4" s="151" t="s">
        <v>11</v>
      </c>
      <c r="T4" s="152"/>
      <c r="U4" s="152"/>
      <c r="V4" s="152"/>
      <c r="W4" s="152"/>
      <c r="X4" s="152"/>
      <c r="Y4" s="153"/>
      <c r="Z4" s="1"/>
      <c r="AA4" s="1"/>
      <c r="AB4" s="1"/>
      <c r="AC4" s="1"/>
      <c r="AD4" s="1"/>
      <c r="AE4" s="4"/>
      <c r="AG4" s="154"/>
      <c r="AH4" s="82"/>
      <c r="AI4" s="48"/>
      <c r="AJ4" s="48"/>
      <c r="AK4" s="48"/>
      <c r="AL4" s="53"/>
      <c r="AM4" s="53"/>
      <c r="AN4" s="53"/>
      <c r="AO4" s="53"/>
      <c r="AP4" s="53"/>
      <c r="AQ4" s="53"/>
      <c r="AR4" s="53"/>
      <c r="AS4" s="1"/>
      <c r="AT4" s="1"/>
      <c r="AU4" s="1"/>
      <c r="AV4" s="1"/>
      <c r="AW4" s="1"/>
      <c r="AX4" s="4"/>
      <c r="AZ4" s="154"/>
      <c r="BA4" s="82"/>
      <c r="BB4" s="48"/>
      <c r="BC4" s="48"/>
      <c r="BD4" s="48"/>
      <c r="BE4" s="53"/>
      <c r="BF4" s="53"/>
      <c r="BG4" s="53"/>
      <c r="BH4" s="53"/>
      <c r="BI4" s="53"/>
      <c r="BJ4" s="53"/>
      <c r="BK4" s="53"/>
      <c r="BL4" s="1"/>
      <c r="BM4" s="1"/>
      <c r="BN4" s="1"/>
      <c r="BO4" s="1"/>
      <c r="BP4" s="1"/>
      <c r="BQ4" s="4"/>
      <c r="BS4" s="154"/>
      <c r="BT4" s="82"/>
      <c r="BU4" s="48"/>
      <c r="BV4" s="48"/>
      <c r="BW4" s="48"/>
      <c r="BX4" s="53"/>
      <c r="BY4" s="53"/>
      <c r="BZ4" s="53"/>
      <c r="CA4" s="53"/>
      <c r="CB4" s="53"/>
      <c r="CC4" s="53"/>
      <c r="CD4" s="53"/>
      <c r="CE4" s="1"/>
      <c r="CF4" s="1"/>
      <c r="CG4" s="1"/>
      <c r="CH4" s="1"/>
      <c r="CI4" s="1"/>
      <c r="CJ4" s="4"/>
      <c r="CL4" s="154"/>
      <c r="CM4" s="82"/>
      <c r="CN4" s="48"/>
      <c r="CO4" s="48"/>
      <c r="CP4" s="48"/>
      <c r="CQ4" s="53"/>
      <c r="CR4" s="53"/>
      <c r="CS4" s="53"/>
      <c r="CT4" s="53"/>
      <c r="CU4" s="53"/>
      <c r="CV4" s="53"/>
      <c r="CW4" s="53"/>
      <c r="CX4" s="1"/>
      <c r="CY4" s="1"/>
      <c r="CZ4" s="1"/>
      <c r="DA4" s="1"/>
      <c r="DB4" s="1"/>
      <c r="DC4" s="4"/>
    </row>
    <row r="5" spans="1:107" x14ac:dyDescent="0.2">
      <c r="A5" s="134"/>
      <c r="B5" s="104">
        <v>-98.51136000000001</v>
      </c>
      <c r="C5" s="106">
        <f>AVERAGE(F5:J5)</f>
        <v>-2.4826146000000002</v>
      </c>
      <c r="D5" s="98">
        <f>STDEV(F5:J5)</f>
        <v>0.76277421076967356</v>
      </c>
      <c r="E5" s="107">
        <f>COUNT(F5:J5)</f>
        <v>5</v>
      </c>
      <c r="F5" s="106">
        <v>-2.9894910000000001</v>
      </c>
      <c r="G5" s="98">
        <v>-2.0187949999999999</v>
      </c>
      <c r="H5" s="98">
        <v>-3.5655239999999999</v>
      </c>
      <c r="I5" s="98">
        <v>-1.7636620000000001</v>
      </c>
      <c r="J5" s="99">
        <v>-2.0756010000000003</v>
      </c>
      <c r="K5" s="98"/>
      <c r="L5" s="99"/>
      <c r="N5" s="154"/>
      <c r="O5" s="166"/>
      <c r="P5" s="142"/>
      <c r="Q5" s="142"/>
      <c r="R5" s="143"/>
      <c r="S5" s="49">
        <v>143</v>
      </c>
      <c r="T5" s="50">
        <v>145</v>
      </c>
      <c r="U5" s="50">
        <v>146</v>
      </c>
      <c r="V5" s="50">
        <v>148</v>
      </c>
      <c r="W5" s="50">
        <v>150</v>
      </c>
      <c r="X5" s="86">
        <v>147</v>
      </c>
      <c r="Y5" s="50">
        <v>149</v>
      </c>
      <c r="Z5" s="1"/>
      <c r="AA5" s="1"/>
      <c r="AB5" s="1"/>
      <c r="AC5" s="1"/>
      <c r="AD5" s="1"/>
      <c r="AE5" s="4"/>
      <c r="AG5" s="154"/>
      <c r="AH5" s="82"/>
      <c r="AI5" s="48"/>
      <c r="AJ5" s="48"/>
      <c r="AK5" s="48"/>
      <c r="AL5" s="81"/>
      <c r="AM5" s="26"/>
      <c r="AN5" s="26"/>
      <c r="AO5" s="26"/>
      <c r="AP5" s="26"/>
      <c r="AQ5" s="26"/>
      <c r="AR5" s="26"/>
      <c r="AS5" s="1"/>
      <c r="AT5" s="1"/>
      <c r="AU5" s="1"/>
      <c r="AV5" s="1"/>
      <c r="AW5" s="1"/>
      <c r="AX5" s="4"/>
      <c r="AZ5" s="154"/>
      <c r="BA5" s="82"/>
      <c r="BB5" s="48"/>
      <c r="BC5" s="48"/>
      <c r="BD5" s="48"/>
      <c r="BE5" s="81"/>
      <c r="BF5" s="26"/>
      <c r="BG5" s="26"/>
      <c r="BH5" s="26"/>
      <c r="BI5" s="26"/>
      <c r="BJ5" s="26"/>
      <c r="BK5" s="26"/>
      <c r="BL5" s="1"/>
      <c r="BM5" s="1"/>
      <c r="BN5" s="1"/>
      <c r="BO5" s="1"/>
      <c r="BP5" s="1"/>
      <c r="BQ5" s="4"/>
      <c r="BS5" s="154"/>
      <c r="BT5" s="82"/>
      <c r="BU5" s="48"/>
      <c r="BV5" s="48"/>
      <c r="BW5" s="48"/>
      <c r="BX5" s="81"/>
      <c r="BY5" s="26"/>
      <c r="BZ5" s="26"/>
      <c r="CA5" s="26"/>
      <c r="CB5" s="26"/>
      <c r="CC5" s="26"/>
      <c r="CD5" s="26"/>
      <c r="CE5" s="1"/>
      <c r="CF5" s="1"/>
      <c r="CG5" s="1"/>
      <c r="CH5" s="1"/>
      <c r="CI5" s="1"/>
      <c r="CJ5" s="4"/>
      <c r="CL5" s="154"/>
      <c r="CM5" s="82"/>
      <c r="CN5" s="48"/>
      <c r="CO5" s="48"/>
      <c r="CP5" s="48"/>
      <c r="CQ5" s="81"/>
      <c r="CR5" s="26"/>
      <c r="CS5" s="26"/>
      <c r="CT5" s="26"/>
      <c r="CU5" s="26"/>
      <c r="CV5" s="26"/>
      <c r="CW5" s="26"/>
      <c r="CX5" s="1"/>
      <c r="CY5" s="1"/>
      <c r="CZ5" s="1"/>
      <c r="DA5" s="1"/>
      <c r="DB5" s="1"/>
      <c r="DC5" s="4"/>
    </row>
    <row r="6" spans="1:107" x14ac:dyDescent="0.2">
      <c r="A6" s="134"/>
      <c r="B6" s="104">
        <v>-86.137200000000021</v>
      </c>
      <c r="C6" s="106">
        <f t="shared" ref="C6:C21" si="0">AVERAGE(F6:J6)</f>
        <v>-1.8172427199999999</v>
      </c>
      <c r="D6" s="98">
        <f t="shared" ref="D6:D21" si="1">STDEV(F6:J6)</f>
        <v>0.63680222144883614</v>
      </c>
      <c r="E6" s="107">
        <f t="shared" ref="E6:E21" si="2">COUNT(F6:J6)</f>
        <v>5</v>
      </c>
      <c r="F6" s="106">
        <v>-2.2299186</v>
      </c>
      <c r="G6" s="98">
        <v>-1.4978786000000002</v>
      </c>
      <c r="H6" s="98">
        <v>-2.7157519999999997</v>
      </c>
      <c r="I6" s="98">
        <v>-1.1622724</v>
      </c>
      <c r="J6" s="99">
        <v>-1.4803919999999999</v>
      </c>
      <c r="K6" s="98"/>
      <c r="L6" s="99"/>
      <c r="N6" s="154"/>
      <c r="O6" s="71" t="s">
        <v>8</v>
      </c>
      <c r="P6" s="6">
        <f>AVERAGE(S6:Y6)</f>
        <v>-14.69193918914794</v>
      </c>
      <c r="Q6" s="6">
        <f>STDEV(S6:Y6)</f>
        <v>8.914118877778165</v>
      </c>
      <c r="R6" s="3">
        <f>COUNT(S6:Y6)</f>
        <v>5</v>
      </c>
      <c r="S6" s="1">
        <f>-6.96487474441528</f>
        <v>-6.9648747444152797</v>
      </c>
      <c r="T6" s="1">
        <v>-23.8</v>
      </c>
      <c r="U6" s="1">
        <f>-15.8858308792114</f>
        <v>-15.885830879211399</v>
      </c>
      <c r="V6" s="1">
        <v>-22.635999999999999</v>
      </c>
      <c r="W6" s="1">
        <f>-4.17299032211303</f>
        <v>-4.17299032211303</v>
      </c>
      <c r="X6" s="87"/>
      <c r="Y6" s="4"/>
      <c r="Z6" s="1"/>
      <c r="AA6" s="1"/>
      <c r="AB6" s="1"/>
      <c r="AC6" s="1"/>
      <c r="AD6" s="1"/>
      <c r="AE6" s="4"/>
      <c r="AG6" s="154"/>
      <c r="AH6" s="29"/>
      <c r="AI6" s="21"/>
      <c r="AJ6" s="21"/>
      <c r="AK6" s="26"/>
      <c r="AL6" s="26"/>
      <c r="AM6" s="26"/>
      <c r="AN6" s="26"/>
      <c r="AO6" s="26"/>
      <c r="AP6" s="26"/>
      <c r="AQ6" s="26"/>
      <c r="AR6" s="26"/>
      <c r="AS6" s="1"/>
      <c r="AT6" s="1"/>
      <c r="AU6" s="1"/>
      <c r="AV6" s="1"/>
      <c r="AW6" s="1"/>
      <c r="AX6" s="4"/>
      <c r="AZ6" s="154"/>
      <c r="BA6" s="29"/>
      <c r="BB6" s="21"/>
      <c r="BC6" s="21"/>
      <c r="BD6" s="26"/>
      <c r="BE6" s="26"/>
      <c r="BF6" s="26"/>
      <c r="BG6" s="26"/>
      <c r="BH6" s="26"/>
      <c r="BI6" s="26"/>
      <c r="BJ6" s="26"/>
      <c r="BK6" s="26"/>
      <c r="BL6" s="1"/>
      <c r="BM6" s="1"/>
      <c r="BN6" s="1"/>
      <c r="BO6" s="1"/>
      <c r="BP6" s="1"/>
      <c r="BQ6" s="4"/>
      <c r="BS6" s="154"/>
      <c r="BT6" s="29"/>
      <c r="BU6" s="21"/>
      <c r="BV6" s="21"/>
      <c r="BW6" s="26"/>
      <c r="BX6" s="26"/>
      <c r="BY6" s="26"/>
      <c r="BZ6" s="26"/>
      <c r="CA6" s="26"/>
      <c r="CB6" s="26"/>
      <c r="CC6" s="26"/>
      <c r="CD6" s="26"/>
      <c r="CE6" s="1"/>
      <c r="CF6" s="1"/>
      <c r="CG6" s="1"/>
      <c r="CH6" s="1"/>
      <c r="CI6" s="1"/>
      <c r="CJ6" s="4"/>
      <c r="CL6" s="154"/>
      <c r="CM6" s="29"/>
      <c r="CN6" s="21"/>
      <c r="CO6" s="21"/>
      <c r="CP6" s="26"/>
      <c r="CQ6" s="26"/>
      <c r="CR6" s="26"/>
      <c r="CS6" s="26"/>
      <c r="CT6" s="26"/>
      <c r="CU6" s="26"/>
      <c r="CV6" s="26"/>
      <c r="CW6" s="26"/>
      <c r="CX6" s="1"/>
      <c r="CY6" s="1"/>
      <c r="CZ6" s="1"/>
      <c r="DA6" s="1"/>
      <c r="DB6" s="1"/>
      <c r="DC6" s="4"/>
    </row>
    <row r="7" spans="1:107" x14ac:dyDescent="0.2">
      <c r="A7" s="134"/>
      <c r="B7" s="104">
        <v>-73.873199999999997</v>
      </c>
      <c r="C7" s="106">
        <f t="shared" si="0"/>
        <v>-1.3264735540000001</v>
      </c>
      <c r="D7" s="98">
        <f t="shared" si="1"/>
        <v>0.47373904913853176</v>
      </c>
      <c r="E7" s="107">
        <f t="shared" si="2"/>
        <v>5</v>
      </c>
      <c r="F7" s="106">
        <v>-1.6504393100000001</v>
      </c>
      <c r="G7" s="98">
        <v>-1.1078489</v>
      </c>
      <c r="H7" s="98">
        <v>-1.976143</v>
      </c>
      <c r="I7" s="98">
        <v>-0.81135769999999996</v>
      </c>
      <c r="J7" s="99">
        <v>-1.0865788599999999</v>
      </c>
      <c r="K7" s="98"/>
      <c r="L7" s="99"/>
      <c r="N7" s="154"/>
      <c r="O7" s="74" t="s">
        <v>9</v>
      </c>
      <c r="P7" s="9">
        <f>AVERAGE(S7:Y7)</f>
        <v>-0.32065752082633747</v>
      </c>
      <c r="Q7" s="9">
        <f>STDEV(S7:Y7)</f>
        <v>1.466168880531902</v>
      </c>
      <c r="R7" s="10">
        <f>COUNT(S7:Y7)</f>
        <v>4</v>
      </c>
      <c r="S7" s="12"/>
      <c r="T7" s="12">
        <v>0.513988</v>
      </c>
      <c r="U7" s="12"/>
      <c r="V7" s="12"/>
      <c r="W7" s="12">
        <f>-1.97479808330535</f>
        <v>-1.97479808330535</v>
      </c>
      <c r="X7" s="88">
        <v>-1.06857</v>
      </c>
      <c r="Y7" s="13">
        <v>1.24675</v>
      </c>
      <c r="Z7" s="1"/>
      <c r="AA7" s="1"/>
      <c r="AB7" s="1"/>
      <c r="AC7" s="1"/>
      <c r="AD7" s="1"/>
      <c r="AE7" s="4"/>
      <c r="AG7" s="154"/>
      <c r="AH7" s="29"/>
      <c r="AI7" s="21"/>
      <c r="AJ7" s="21"/>
      <c r="AK7" s="26"/>
      <c r="AL7" s="26"/>
      <c r="AM7" s="26"/>
      <c r="AN7" s="26"/>
      <c r="AO7" s="26"/>
      <c r="AP7" s="26"/>
      <c r="AQ7" s="26"/>
      <c r="AR7" s="26"/>
      <c r="AS7" s="1"/>
      <c r="AT7" s="1"/>
      <c r="AU7" s="1"/>
      <c r="AV7" s="1"/>
      <c r="AW7" s="1"/>
      <c r="AX7" s="4"/>
      <c r="AZ7" s="154"/>
      <c r="BA7" s="29"/>
      <c r="BB7" s="21"/>
      <c r="BC7" s="21"/>
      <c r="BD7" s="26"/>
      <c r="BE7" s="26"/>
      <c r="BF7" s="26"/>
      <c r="BG7" s="26"/>
      <c r="BH7" s="26"/>
      <c r="BI7" s="26"/>
      <c r="BJ7" s="26"/>
      <c r="BK7" s="26"/>
      <c r="BL7" s="1"/>
      <c r="BM7" s="1"/>
      <c r="BN7" s="1"/>
      <c r="BO7" s="1"/>
      <c r="BP7" s="1"/>
      <c r="BQ7" s="4"/>
      <c r="BS7" s="154"/>
      <c r="BT7" s="29"/>
      <c r="BU7" s="21"/>
      <c r="BV7" s="21"/>
      <c r="BW7" s="26"/>
      <c r="BX7" s="26"/>
      <c r="BY7" s="26"/>
      <c r="BZ7" s="26"/>
      <c r="CA7" s="26"/>
      <c r="CB7" s="26"/>
      <c r="CC7" s="26"/>
      <c r="CD7" s="26"/>
      <c r="CE7" s="1"/>
      <c r="CF7" s="1"/>
      <c r="CG7" s="1"/>
      <c r="CH7" s="1"/>
      <c r="CI7" s="1"/>
      <c r="CJ7" s="4"/>
      <c r="CL7" s="154"/>
      <c r="CM7" s="29"/>
      <c r="CN7" s="21"/>
      <c r="CO7" s="21"/>
      <c r="CP7" s="26"/>
      <c r="CQ7" s="26"/>
      <c r="CR7" s="26"/>
      <c r="CS7" s="26"/>
      <c r="CT7" s="26"/>
      <c r="CU7" s="26"/>
      <c r="CV7" s="26"/>
      <c r="CW7" s="26"/>
      <c r="CX7" s="1"/>
      <c r="CY7" s="1"/>
      <c r="CZ7" s="1"/>
      <c r="DA7" s="1"/>
      <c r="DB7" s="1"/>
      <c r="DC7" s="4"/>
    </row>
    <row r="8" spans="1:107" x14ac:dyDescent="0.2">
      <c r="A8" s="134"/>
      <c r="B8" s="104">
        <v>-61.99738</v>
      </c>
      <c r="C8" s="106">
        <f t="shared" si="0"/>
        <v>-0.85067038000000006</v>
      </c>
      <c r="D8" s="98">
        <f t="shared" si="1"/>
        <v>0.32004801682586936</v>
      </c>
      <c r="E8" s="107">
        <f t="shared" si="2"/>
        <v>5</v>
      </c>
      <c r="F8" s="106">
        <v>-1.0830629000000001</v>
      </c>
      <c r="G8" s="98">
        <v>-0.78191199999999994</v>
      </c>
      <c r="H8" s="98">
        <v>-1.264359</v>
      </c>
      <c r="I8" s="98">
        <v>-0.480769</v>
      </c>
      <c r="J8" s="99">
        <v>-0.64324900000000007</v>
      </c>
      <c r="K8" s="98"/>
      <c r="L8" s="99"/>
      <c r="N8" s="154"/>
      <c r="O8" s="23"/>
      <c r="P8" s="1"/>
      <c r="Q8" s="1"/>
      <c r="R8" s="1"/>
      <c r="S8" s="1"/>
      <c r="T8" s="1"/>
      <c r="U8" s="1"/>
      <c r="V8" s="1"/>
      <c r="W8" s="1"/>
      <c r="X8" s="87"/>
      <c r="Y8" s="1"/>
      <c r="Z8" s="1"/>
      <c r="AA8" s="1"/>
      <c r="AB8" s="1"/>
      <c r="AC8" s="1"/>
      <c r="AD8" s="1"/>
      <c r="AE8" s="4"/>
      <c r="AG8" s="154"/>
      <c r="AH8" s="23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4"/>
      <c r="AZ8" s="154"/>
      <c r="BA8" s="23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4"/>
      <c r="BS8" s="154"/>
      <c r="BT8" s="23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4"/>
      <c r="CL8" s="154"/>
      <c r="CM8" s="23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4"/>
    </row>
    <row r="9" spans="1:107" x14ac:dyDescent="0.2">
      <c r="A9" s="134"/>
      <c r="B9" s="104">
        <v>-50.205619999999996</v>
      </c>
      <c r="C9" s="106">
        <f t="shared" si="0"/>
        <v>-0.2118758</v>
      </c>
      <c r="D9" s="98">
        <f t="shared" si="1"/>
        <v>0.29350070130955397</v>
      </c>
      <c r="E9" s="107">
        <f t="shared" si="2"/>
        <v>5</v>
      </c>
      <c r="F9" s="106">
        <v>-0.57025999999999999</v>
      </c>
      <c r="G9" s="98">
        <v>-0.49306000000000005</v>
      </c>
      <c r="H9" s="98">
        <v>1.8250000000000016E-2</v>
      </c>
      <c r="I9" s="98">
        <v>4.832000000000003E-3</v>
      </c>
      <c r="J9" s="99">
        <v>-1.9140999999999991E-2</v>
      </c>
      <c r="K9" s="98"/>
      <c r="L9" s="99"/>
      <c r="N9" s="154"/>
      <c r="O9" s="170" t="s">
        <v>46</v>
      </c>
      <c r="P9" s="171"/>
      <c r="Q9" s="171"/>
      <c r="R9" s="171"/>
      <c r="S9" s="171"/>
      <c r="T9" s="171"/>
      <c r="U9" s="171"/>
      <c r="V9" s="171"/>
      <c r="W9" s="172"/>
      <c r="X9" s="87"/>
      <c r="Y9" s="1"/>
      <c r="Z9" s="1"/>
      <c r="AA9" s="1"/>
      <c r="AB9" s="1"/>
      <c r="AC9" s="1"/>
      <c r="AD9" s="1"/>
      <c r="AE9" s="4"/>
      <c r="AG9" s="154"/>
      <c r="AH9" s="170" t="s">
        <v>46</v>
      </c>
      <c r="AI9" s="171"/>
      <c r="AJ9" s="171"/>
      <c r="AK9" s="171"/>
      <c r="AL9" s="171"/>
      <c r="AM9" s="171"/>
      <c r="AN9" s="171"/>
      <c r="AO9" s="171"/>
      <c r="AP9" s="172"/>
      <c r="AQ9" s="1"/>
      <c r="AR9" s="1"/>
      <c r="AS9" s="1"/>
      <c r="AT9" s="1"/>
      <c r="AU9" s="1"/>
      <c r="AV9" s="1"/>
      <c r="AW9" s="1"/>
      <c r="AX9" s="4"/>
      <c r="AZ9" s="154"/>
      <c r="BA9" s="170" t="s">
        <v>46</v>
      </c>
      <c r="BB9" s="171"/>
      <c r="BC9" s="171"/>
      <c r="BD9" s="171"/>
      <c r="BE9" s="171"/>
      <c r="BF9" s="171"/>
      <c r="BG9" s="171"/>
      <c r="BH9" s="171"/>
      <c r="BI9" s="172"/>
      <c r="BJ9" s="1"/>
      <c r="BK9" s="1"/>
      <c r="BL9" s="1"/>
      <c r="BM9" s="1"/>
      <c r="BN9" s="1"/>
      <c r="BO9" s="1"/>
      <c r="BP9" s="1"/>
      <c r="BQ9" s="4"/>
      <c r="BS9" s="154"/>
      <c r="BT9" s="170" t="s">
        <v>46</v>
      </c>
      <c r="BU9" s="171"/>
      <c r="BV9" s="171"/>
      <c r="BW9" s="171"/>
      <c r="BX9" s="171"/>
      <c r="BY9" s="171"/>
      <c r="BZ9" s="171"/>
      <c r="CA9" s="171"/>
      <c r="CB9" s="172"/>
      <c r="CC9" s="1"/>
      <c r="CD9" s="1"/>
      <c r="CE9" s="1"/>
      <c r="CF9" s="1"/>
      <c r="CG9" s="1"/>
      <c r="CH9" s="1"/>
      <c r="CI9" s="1"/>
      <c r="CJ9" s="4"/>
      <c r="CL9" s="154"/>
      <c r="CM9" s="170" t="s">
        <v>46</v>
      </c>
      <c r="CN9" s="171"/>
      <c r="CO9" s="171"/>
      <c r="CP9" s="171"/>
      <c r="CQ9" s="171"/>
      <c r="CR9" s="171"/>
      <c r="CS9" s="171"/>
      <c r="CT9" s="171"/>
      <c r="CU9" s="172"/>
      <c r="CV9" s="1"/>
      <c r="CW9" s="1"/>
      <c r="CX9" s="1"/>
      <c r="CY9" s="1"/>
      <c r="CZ9" s="1"/>
      <c r="DA9" s="1"/>
      <c r="DB9" s="1"/>
      <c r="DC9" s="4"/>
    </row>
    <row r="10" spans="1:107" x14ac:dyDescent="0.2">
      <c r="A10" s="134"/>
      <c r="B10" s="105">
        <v>-35.63608</v>
      </c>
      <c r="C10" s="108">
        <f t="shared" si="0"/>
        <v>8.2383000000000026E-2</v>
      </c>
      <c r="D10" s="102">
        <f t="shared" si="1"/>
        <v>0.21606654620509858</v>
      </c>
      <c r="E10" s="109">
        <f t="shared" si="2"/>
        <v>5</v>
      </c>
      <c r="F10" s="108">
        <v>-8.0779999999999963E-2</v>
      </c>
      <c r="G10" s="102">
        <v>-0.210761</v>
      </c>
      <c r="H10" s="102">
        <v>0.17837000000000003</v>
      </c>
      <c r="I10" s="102">
        <v>0.25731400000000004</v>
      </c>
      <c r="J10" s="103">
        <v>0.26777200000000001</v>
      </c>
      <c r="K10" s="98"/>
      <c r="L10" s="99"/>
      <c r="N10" s="154"/>
      <c r="O10" s="158" t="s">
        <v>10</v>
      </c>
      <c r="P10" s="18" t="s">
        <v>3</v>
      </c>
      <c r="Q10" s="18" t="s">
        <v>5</v>
      </c>
      <c r="R10" s="19" t="s">
        <v>4</v>
      </c>
      <c r="S10" s="173" t="s">
        <v>11</v>
      </c>
      <c r="T10" s="173"/>
      <c r="U10" s="173"/>
      <c r="V10" s="173"/>
      <c r="W10" s="174"/>
      <c r="X10" s="87"/>
      <c r="Y10" s="1"/>
      <c r="Z10" s="1"/>
      <c r="AA10" s="1"/>
      <c r="AB10" s="1"/>
      <c r="AC10" s="1"/>
      <c r="AD10" s="1"/>
      <c r="AE10" s="4"/>
      <c r="AG10" s="154"/>
      <c r="AH10" s="158" t="s">
        <v>10</v>
      </c>
      <c r="AI10" s="18" t="s">
        <v>3</v>
      </c>
      <c r="AJ10" s="18" t="s">
        <v>5</v>
      </c>
      <c r="AK10" s="19" t="s">
        <v>4</v>
      </c>
      <c r="AL10" s="173" t="s">
        <v>11</v>
      </c>
      <c r="AM10" s="173"/>
      <c r="AN10" s="173"/>
      <c r="AO10" s="173"/>
      <c r="AP10" s="174"/>
      <c r="AQ10" s="1"/>
      <c r="AR10" s="1"/>
      <c r="AS10" s="1"/>
      <c r="AT10" s="1"/>
      <c r="AU10" s="1"/>
      <c r="AV10" s="1"/>
      <c r="AW10" s="1"/>
      <c r="AX10" s="4"/>
      <c r="AZ10" s="154"/>
      <c r="BA10" s="158" t="s">
        <v>10</v>
      </c>
      <c r="BB10" s="18" t="s">
        <v>3</v>
      </c>
      <c r="BC10" s="18" t="s">
        <v>5</v>
      </c>
      <c r="BD10" s="19" t="s">
        <v>4</v>
      </c>
      <c r="BE10" s="173" t="s">
        <v>11</v>
      </c>
      <c r="BF10" s="173"/>
      <c r="BG10" s="173"/>
      <c r="BH10" s="173"/>
      <c r="BI10" s="174"/>
      <c r="BJ10" s="1"/>
      <c r="BK10" s="1"/>
      <c r="BL10" s="1"/>
      <c r="BM10" s="1"/>
      <c r="BN10" s="1"/>
      <c r="BO10" s="1"/>
      <c r="BP10" s="1"/>
      <c r="BQ10" s="4"/>
      <c r="BS10" s="154"/>
      <c r="BT10" s="158" t="s">
        <v>10</v>
      </c>
      <c r="BU10" s="18" t="s">
        <v>3</v>
      </c>
      <c r="BV10" s="18" t="s">
        <v>5</v>
      </c>
      <c r="BW10" s="19" t="s">
        <v>4</v>
      </c>
      <c r="BX10" s="173" t="s">
        <v>11</v>
      </c>
      <c r="BY10" s="173"/>
      <c r="BZ10" s="173"/>
      <c r="CA10" s="173"/>
      <c r="CB10" s="174"/>
      <c r="CC10" s="1"/>
      <c r="CD10" s="1"/>
      <c r="CE10" s="1"/>
      <c r="CF10" s="1"/>
      <c r="CG10" s="1"/>
      <c r="CH10" s="1"/>
      <c r="CI10" s="1"/>
      <c r="CJ10" s="4"/>
      <c r="CL10" s="154"/>
      <c r="CM10" s="158" t="s">
        <v>10</v>
      </c>
      <c r="CN10" s="18" t="s">
        <v>3</v>
      </c>
      <c r="CO10" s="18" t="s">
        <v>5</v>
      </c>
      <c r="CP10" s="19" t="s">
        <v>4</v>
      </c>
      <c r="CQ10" s="173" t="s">
        <v>11</v>
      </c>
      <c r="CR10" s="173"/>
      <c r="CS10" s="173"/>
      <c r="CT10" s="173"/>
      <c r="CU10" s="174"/>
      <c r="CV10" s="1"/>
      <c r="CW10" s="1"/>
      <c r="CX10" s="1"/>
      <c r="CY10" s="1"/>
      <c r="CZ10" s="1"/>
      <c r="DA10" s="1"/>
      <c r="DB10" s="1"/>
      <c r="DC10" s="4"/>
    </row>
    <row r="11" spans="1:107" x14ac:dyDescent="0.2">
      <c r="A11" s="134"/>
      <c r="B11" s="116" t="s">
        <v>40</v>
      </c>
      <c r="C11" s="131">
        <f>AVERAGE(F11:J11)</f>
        <v>-41.038618353010364</v>
      </c>
      <c r="D11" s="102">
        <f t="shared" si="1"/>
        <v>6.3997398148290729</v>
      </c>
      <c r="E11" s="109">
        <f t="shared" si="2"/>
        <v>5</v>
      </c>
      <c r="F11" s="113">
        <v>-36.783963800421802</v>
      </c>
      <c r="G11" s="114">
        <v>-32.097973922634999</v>
      </c>
      <c r="H11" s="114">
        <v>-43.326321922796801</v>
      </c>
      <c r="I11" s="114">
        <v>-47.223191033777098</v>
      </c>
      <c r="J11" s="115">
        <v>-45.761641085421097</v>
      </c>
      <c r="K11" s="163" t="s">
        <v>41</v>
      </c>
      <c r="L11" s="164"/>
      <c r="N11" s="154"/>
      <c r="O11" s="166"/>
      <c r="P11" s="144" t="s">
        <v>12</v>
      </c>
      <c r="Q11" s="144"/>
      <c r="R11" s="145"/>
      <c r="S11" s="51">
        <v>11</v>
      </c>
      <c r="T11" s="51">
        <v>6</v>
      </c>
      <c r="U11" s="51">
        <v>7</v>
      </c>
      <c r="V11" s="51">
        <v>8</v>
      </c>
      <c r="W11" s="51">
        <v>10</v>
      </c>
      <c r="X11" s="87"/>
      <c r="Y11" s="1"/>
      <c r="Z11" s="1"/>
      <c r="AA11" s="1"/>
      <c r="AB11" s="1"/>
      <c r="AC11" s="1"/>
      <c r="AD11" s="1"/>
      <c r="AE11" s="4"/>
      <c r="AG11" s="154"/>
      <c r="AH11" s="166"/>
      <c r="AI11" s="144" t="s">
        <v>12</v>
      </c>
      <c r="AJ11" s="144"/>
      <c r="AK11" s="145"/>
      <c r="AL11" s="51">
        <v>11</v>
      </c>
      <c r="AM11" s="51">
        <v>6</v>
      </c>
      <c r="AN11" s="51">
        <v>7</v>
      </c>
      <c r="AO11" s="51">
        <v>8</v>
      </c>
      <c r="AP11" s="51">
        <v>10</v>
      </c>
      <c r="AQ11" s="1"/>
      <c r="AR11" s="1"/>
      <c r="AS11" s="1"/>
      <c r="AT11" s="1"/>
      <c r="AU11" s="1"/>
      <c r="AV11" s="1"/>
      <c r="AW11" s="1"/>
      <c r="AX11" s="4"/>
      <c r="AZ11" s="154"/>
      <c r="BA11" s="166"/>
      <c r="BB11" s="144" t="s">
        <v>12</v>
      </c>
      <c r="BC11" s="144"/>
      <c r="BD11" s="145"/>
      <c r="BE11" s="51">
        <v>11</v>
      </c>
      <c r="BF11" s="51">
        <v>6</v>
      </c>
      <c r="BG11" s="51">
        <v>7</v>
      </c>
      <c r="BH11" s="51">
        <v>8</v>
      </c>
      <c r="BI11" s="51">
        <v>10</v>
      </c>
      <c r="BJ11" s="1"/>
      <c r="BK11" s="1"/>
      <c r="BL11" s="1"/>
      <c r="BM11" s="1"/>
      <c r="BN11" s="1"/>
      <c r="BO11" s="1"/>
      <c r="BP11" s="1"/>
      <c r="BQ11" s="4"/>
      <c r="BS11" s="154"/>
      <c r="BT11" s="166"/>
      <c r="BU11" s="144" t="s">
        <v>12</v>
      </c>
      <c r="BV11" s="144"/>
      <c r="BW11" s="145"/>
      <c r="BX11" s="51">
        <v>11</v>
      </c>
      <c r="BY11" s="51">
        <v>6</v>
      </c>
      <c r="BZ11" s="51">
        <v>7</v>
      </c>
      <c r="CA11" s="51">
        <v>8</v>
      </c>
      <c r="CB11" s="51">
        <v>10</v>
      </c>
      <c r="CC11" s="1"/>
      <c r="CD11" s="1"/>
      <c r="CE11" s="1"/>
      <c r="CF11" s="1"/>
      <c r="CG11" s="1"/>
      <c r="CH11" s="1"/>
      <c r="CI11" s="1"/>
      <c r="CJ11" s="4"/>
      <c r="CL11" s="154"/>
      <c r="CM11" s="166"/>
      <c r="CN11" s="144" t="s">
        <v>12</v>
      </c>
      <c r="CO11" s="144"/>
      <c r="CP11" s="145"/>
      <c r="CQ11" s="51">
        <v>11</v>
      </c>
      <c r="CR11" s="51">
        <v>6</v>
      </c>
      <c r="CS11" s="51">
        <v>7</v>
      </c>
      <c r="CT11" s="51">
        <v>8</v>
      </c>
      <c r="CU11" s="51">
        <v>10</v>
      </c>
      <c r="CV11" s="1"/>
      <c r="CW11" s="1"/>
      <c r="CX11" s="1"/>
      <c r="CY11" s="1"/>
      <c r="CZ11" s="1"/>
      <c r="DA11" s="1"/>
      <c r="DB11" s="1"/>
      <c r="DC11" s="4"/>
    </row>
    <row r="12" spans="1:107" x14ac:dyDescent="0.2">
      <c r="A12" s="134"/>
      <c r="B12" s="97"/>
      <c r="C12" s="98"/>
      <c r="D12" s="98"/>
      <c r="E12" s="97"/>
      <c r="F12" s="98"/>
      <c r="G12" s="98"/>
      <c r="H12" s="98"/>
      <c r="I12" s="98"/>
      <c r="J12" s="98"/>
      <c r="K12" s="98"/>
      <c r="L12" s="99"/>
      <c r="N12" s="154"/>
      <c r="O12" s="5">
        <v>1.05</v>
      </c>
      <c r="P12" s="60"/>
      <c r="Q12" s="24"/>
      <c r="R12" s="25">
        <f>COUNT(S12:W12)</f>
        <v>0</v>
      </c>
      <c r="S12" s="26"/>
      <c r="T12" s="26"/>
      <c r="U12" s="26"/>
      <c r="V12" s="26"/>
      <c r="W12" s="15"/>
      <c r="X12" s="87"/>
      <c r="Y12" s="1"/>
      <c r="Z12" s="1"/>
      <c r="AA12" s="1"/>
      <c r="AB12" s="1"/>
      <c r="AC12" s="1"/>
      <c r="AD12" s="1"/>
      <c r="AE12" s="4"/>
      <c r="AG12" s="154"/>
      <c r="AH12" s="5">
        <v>1.05</v>
      </c>
      <c r="AI12" s="60"/>
      <c r="AJ12" s="24"/>
      <c r="AK12" s="25">
        <f>COUNT(AL12:AP12)</f>
        <v>0</v>
      </c>
      <c r="AL12" s="60"/>
      <c r="AM12" s="24"/>
      <c r="AN12" s="24"/>
      <c r="AO12" s="24"/>
      <c r="AP12" s="25"/>
      <c r="AQ12" s="1"/>
      <c r="AR12" s="1"/>
      <c r="AS12" s="1"/>
      <c r="AT12" s="1"/>
      <c r="AU12" s="1"/>
      <c r="AV12" s="1"/>
      <c r="AW12" s="1"/>
      <c r="AX12" s="4"/>
      <c r="AZ12" s="154"/>
      <c r="BA12" s="5">
        <v>1.05</v>
      </c>
      <c r="BB12" s="60"/>
      <c r="BC12" s="24"/>
      <c r="BD12" s="25">
        <f>COUNT(BE12:BI12)</f>
        <v>0</v>
      </c>
      <c r="BE12" s="60"/>
      <c r="BF12" s="24"/>
      <c r="BG12" s="24"/>
      <c r="BH12" s="24"/>
      <c r="BI12" s="25"/>
      <c r="BJ12" s="1"/>
      <c r="BK12" s="1"/>
      <c r="BL12" s="1"/>
      <c r="BM12" s="1"/>
      <c r="BN12" s="1"/>
      <c r="BO12" s="1"/>
      <c r="BP12" s="1"/>
      <c r="BQ12" s="4"/>
      <c r="BS12" s="154"/>
      <c r="BT12" s="5">
        <v>1.05</v>
      </c>
      <c r="BU12" s="60"/>
      <c r="BV12" s="24"/>
      <c r="BW12" s="25">
        <f>COUNT(BX12:CB12)</f>
        <v>0</v>
      </c>
      <c r="BX12" s="60"/>
      <c r="BY12" s="24"/>
      <c r="BZ12" s="24"/>
      <c r="CA12" s="24"/>
      <c r="CB12" s="25"/>
      <c r="CC12" s="1"/>
      <c r="CD12" s="1"/>
      <c r="CE12" s="1"/>
      <c r="CF12" s="1"/>
      <c r="CG12" s="1"/>
      <c r="CH12" s="1"/>
      <c r="CI12" s="1"/>
      <c r="CJ12" s="4"/>
      <c r="CL12" s="154"/>
      <c r="CM12" s="5">
        <v>1.05</v>
      </c>
      <c r="CN12" s="60"/>
      <c r="CO12" s="24"/>
      <c r="CP12" s="25">
        <f>COUNT(CQ12:CU12)</f>
        <v>0</v>
      </c>
      <c r="CQ12" s="60"/>
      <c r="CR12" s="24"/>
      <c r="CS12" s="24"/>
      <c r="CT12" s="24"/>
      <c r="CU12" s="25"/>
      <c r="CV12" s="1"/>
      <c r="CW12" s="1"/>
      <c r="CX12" s="1"/>
      <c r="CY12" s="1"/>
      <c r="CZ12" s="1"/>
      <c r="DA12" s="1"/>
      <c r="DB12" s="1"/>
      <c r="DC12" s="4"/>
    </row>
    <row r="13" spans="1:107" x14ac:dyDescent="0.2">
      <c r="A13" s="134"/>
      <c r="B13" s="213" t="s">
        <v>34</v>
      </c>
      <c r="C13" s="214"/>
      <c r="D13" s="214"/>
      <c r="E13" s="214"/>
      <c r="F13" s="214"/>
      <c r="G13" s="214"/>
      <c r="H13" s="214"/>
      <c r="I13" s="124"/>
      <c r="J13" s="125"/>
      <c r="K13" s="100"/>
      <c r="L13" s="101"/>
      <c r="N13" s="154"/>
      <c r="O13" s="14">
        <v>2.79</v>
      </c>
      <c r="P13" s="30">
        <f t="shared" ref="P13:P18" si="3">AVERAGE(S13:W13)</f>
        <v>-505.97839355468699</v>
      </c>
      <c r="Q13" s="26"/>
      <c r="R13" s="15">
        <f t="shared" ref="R13:R18" si="4">COUNT(S13:W13)</f>
        <v>1</v>
      </c>
      <c r="S13" s="26">
        <f>-505.978393554687</f>
        <v>-505.97839355468699</v>
      </c>
      <c r="T13" s="26"/>
      <c r="U13" s="26"/>
      <c r="V13" s="26"/>
      <c r="W13" s="15"/>
      <c r="X13" s="87"/>
      <c r="Y13" s="1"/>
      <c r="Z13" s="1"/>
      <c r="AA13" s="1"/>
      <c r="AB13" s="1"/>
      <c r="AC13" s="1"/>
      <c r="AD13" s="1"/>
      <c r="AE13" s="4"/>
      <c r="AG13" s="154"/>
      <c r="AH13" s="14">
        <v>2.79</v>
      </c>
      <c r="AI13" s="30">
        <f t="shared" ref="AI13:AI15" si="5">AVERAGE(AL13:AP13)</f>
        <v>-70.809936389923095</v>
      </c>
      <c r="AJ13" s="26"/>
      <c r="AK13" s="15">
        <f t="shared" ref="AK13:AK18" si="6">COUNT(AL13:AP13)</f>
        <v>1</v>
      </c>
      <c r="AL13" s="30">
        <f>-70.8099363899231</f>
        <v>-70.809936389923095</v>
      </c>
      <c r="AM13" s="26"/>
      <c r="AN13" s="26"/>
      <c r="AO13" s="26"/>
      <c r="AP13" s="15"/>
      <c r="AQ13" s="1"/>
      <c r="AR13" s="1"/>
      <c r="AS13" s="1"/>
      <c r="AT13" s="1"/>
      <c r="AU13" s="1"/>
      <c r="AV13" s="1"/>
      <c r="AW13" s="1"/>
      <c r="AX13" s="4"/>
      <c r="AZ13" s="154"/>
      <c r="BA13" s="14">
        <v>2.79</v>
      </c>
      <c r="BB13" s="30">
        <f t="shared" ref="BB13:BB14" si="7">AVERAGE(BE13:BI13)</f>
        <v>2.2684199999999999</v>
      </c>
      <c r="BC13" s="26"/>
      <c r="BD13" s="15">
        <f t="shared" ref="BD13:BD18" si="8">COUNT(BE13:BI13)</f>
        <v>1</v>
      </c>
      <c r="BE13" s="30">
        <v>2.2684199999999999</v>
      </c>
      <c r="BF13" s="26"/>
      <c r="BG13" s="26"/>
      <c r="BH13" s="26"/>
      <c r="BI13" s="15"/>
      <c r="BJ13" s="1"/>
      <c r="BK13" s="1"/>
      <c r="BL13" s="1"/>
      <c r="BM13" s="1"/>
      <c r="BN13" s="1"/>
      <c r="BO13" s="1"/>
      <c r="BP13" s="1"/>
      <c r="BQ13" s="4"/>
      <c r="BS13" s="154"/>
      <c r="BT13" s="14">
        <v>2.79</v>
      </c>
      <c r="BU13" s="30">
        <f>AVERAGE(BX13:CB13)</f>
        <v>212.63528908297101</v>
      </c>
      <c r="BV13" s="26"/>
      <c r="BW13" s="15">
        <f>COUNT(BX13:CB13)</f>
        <v>1</v>
      </c>
      <c r="BX13" s="30">
        <v>212.63528908297101</v>
      </c>
      <c r="BY13" s="26"/>
      <c r="BZ13" s="26"/>
      <c r="CA13" s="26"/>
      <c r="CB13" s="15"/>
      <c r="CC13" s="1"/>
      <c r="CD13" s="1"/>
      <c r="CE13" s="1"/>
      <c r="CF13" s="1"/>
      <c r="CG13" s="1"/>
      <c r="CH13" s="1"/>
      <c r="CI13" s="1"/>
      <c r="CJ13" s="4"/>
      <c r="CL13" s="154"/>
      <c r="CM13" s="14">
        <v>2.79</v>
      </c>
      <c r="CN13" s="30">
        <f>AVERAGE(CQ13:CU13)</f>
        <v>58.727581591181398</v>
      </c>
      <c r="CO13" s="26"/>
      <c r="CP13" s="15">
        <f>COUNT(CQ13:CU13)</f>
        <v>1</v>
      </c>
      <c r="CQ13" s="30">
        <v>58.727581591181398</v>
      </c>
      <c r="CR13" s="26"/>
      <c r="CS13" s="26"/>
      <c r="CT13" s="26"/>
      <c r="CU13" s="15"/>
      <c r="CV13" s="1"/>
      <c r="CW13" s="1"/>
      <c r="CX13" s="1"/>
      <c r="CY13" s="1"/>
      <c r="CZ13" s="1"/>
      <c r="DA13" s="1"/>
      <c r="DB13" s="1"/>
      <c r="DC13" s="4"/>
    </row>
    <row r="14" spans="1:107" x14ac:dyDescent="0.2">
      <c r="A14" s="134"/>
      <c r="B14" s="205" t="s">
        <v>37</v>
      </c>
      <c r="C14" s="215" t="s">
        <v>3</v>
      </c>
      <c r="D14" s="217" t="s">
        <v>5</v>
      </c>
      <c r="E14" s="219" t="s">
        <v>4</v>
      </c>
      <c r="F14" s="208" t="s">
        <v>36</v>
      </c>
      <c r="G14" s="209"/>
      <c r="H14" s="209"/>
      <c r="I14" s="100"/>
      <c r="J14" s="101"/>
      <c r="K14" s="100"/>
      <c r="L14" s="101"/>
      <c r="N14" s="154"/>
      <c r="O14" s="14">
        <v>5.35</v>
      </c>
      <c r="P14" s="30">
        <f t="shared" si="3"/>
        <v>-394.28405761718699</v>
      </c>
      <c r="Q14" s="26"/>
      <c r="R14" s="15">
        <f t="shared" si="4"/>
        <v>1</v>
      </c>
      <c r="S14" s="26">
        <f>-394.284057617187</f>
        <v>-394.28405761718699</v>
      </c>
      <c r="T14" s="26"/>
      <c r="U14" s="26"/>
      <c r="V14" s="26"/>
      <c r="W14" s="15"/>
      <c r="X14" s="87"/>
      <c r="Y14" s="1"/>
      <c r="Z14" s="1"/>
      <c r="AA14" s="1"/>
      <c r="AB14" s="1"/>
      <c r="AC14" s="1"/>
      <c r="AD14" s="1"/>
      <c r="AE14" s="4"/>
      <c r="AG14" s="154"/>
      <c r="AH14" s="14">
        <v>5.35</v>
      </c>
      <c r="AI14" s="30">
        <f t="shared" si="5"/>
        <v>-61.532592544555598</v>
      </c>
      <c r="AJ14" s="26"/>
      <c r="AK14" s="15">
        <f t="shared" si="6"/>
        <v>1</v>
      </c>
      <c r="AL14" s="30">
        <f>-61.5325925445556</f>
        <v>-61.532592544555598</v>
      </c>
      <c r="AM14" s="26"/>
      <c r="AN14" s="26"/>
      <c r="AO14" s="26"/>
      <c r="AP14" s="15"/>
      <c r="AQ14" s="1"/>
      <c r="AR14" s="1"/>
      <c r="AS14" s="1"/>
      <c r="AT14" s="1"/>
      <c r="AU14" s="1"/>
      <c r="AV14" s="1"/>
      <c r="AW14" s="1"/>
      <c r="AX14" s="4"/>
      <c r="AZ14" s="154"/>
      <c r="BA14" s="14">
        <v>5.35</v>
      </c>
      <c r="BB14" s="30">
        <f t="shared" si="7"/>
        <v>2.1010861396789502</v>
      </c>
      <c r="BC14" s="26"/>
      <c r="BD14" s="15">
        <f t="shared" si="8"/>
        <v>1</v>
      </c>
      <c r="BE14" s="30">
        <v>2.1010861396789502</v>
      </c>
      <c r="BF14" s="26"/>
      <c r="BG14" s="26"/>
      <c r="BH14" s="26"/>
      <c r="BI14" s="15"/>
      <c r="BJ14" s="1"/>
      <c r="BK14" s="1"/>
      <c r="BL14" s="1"/>
      <c r="BM14" s="1"/>
      <c r="BN14" s="1"/>
      <c r="BO14" s="1"/>
      <c r="BP14" s="1"/>
      <c r="BQ14" s="4"/>
      <c r="BS14" s="154"/>
      <c r="BT14" s="14">
        <v>5.35</v>
      </c>
      <c r="BU14" s="30">
        <f t="shared" ref="BU14" si="9">AVERAGE(BX14:CB14)</f>
        <v>207.019038154957</v>
      </c>
      <c r="BV14" s="26"/>
      <c r="BW14" s="15">
        <f t="shared" ref="BW14:BW17" si="10">COUNT(BX14:CB14)</f>
        <v>1</v>
      </c>
      <c r="BX14" s="30">
        <v>207.019038154957</v>
      </c>
      <c r="BY14" s="26"/>
      <c r="BZ14" s="26"/>
      <c r="CA14" s="26"/>
      <c r="CB14" s="15"/>
      <c r="CC14" s="1"/>
      <c r="CD14" s="1"/>
      <c r="CE14" s="1"/>
      <c r="CF14" s="1"/>
      <c r="CG14" s="1"/>
      <c r="CH14" s="1"/>
      <c r="CI14" s="1"/>
      <c r="CJ14" s="4"/>
      <c r="CL14" s="154"/>
      <c r="CM14" s="14">
        <v>5.35</v>
      </c>
      <c r="CN14" s="30">
        <f t="shared" ref="CN14" si="11">AVERAGE(CQ14:CU14)</f>
        <v>57.549909682019603</v>
      </c>
      <c r="CO14" s="26"/>
      <c r="CP14" s="15">
        <f t="shared" ref="CP14:CP17" si="12">COUNT(CQ14:CU14)</f>
        <v>1</v>
      </c>
      <c r="CQ14" s="30">
        <v>57.549909682019603</v>
      </c>
      <c r="CR14" s="26"/>
      <c r="CS14" s="26"/>
      <c r="CT14" s="26"/>
      <c r="CU14" s="15"/>
      <c r="CV14" s="1"/>
      <c r="CW14" s="1"/>
      <c r="CX14" s="1"/>
      <c r="CY14" s="1"/>
      <c r="CZ14" s="1"/>
      <c r="DA14" s="1"/>
      <c r="DB14" s="1"/>
      <c r="DC14" s="4"/>
    </row>
    <row r="15" spans="1:107" x14ac:dyDescent="0.2">
      <c r="A15" s="134"/>
      <c r="B15" s="206"/>
      <c r="C15" s="216"/>
      <c r="D15" s="218"/>
      <c r="E15" s="220"/>
      <c r="F15" s="111">
        <v>40</v>
      </c>
      <c r="G15" s="111">
        <v>46</v>
      </c>
      <c r="H15" s="121">
        <v>156</v>
      </c>
      <c r="I15" s="100"/>
      <c r="J15" s="101"/>
      <c r="K15" s="100"/>
      <c r="L15" s="101"/>
      <c r="N15" s="154"/>
      <c r="O15" s="14">
        <v>10</v>
      </c>
      <c r="P15" s="30">
        <f t="shared" si="3"/>
        <v>-671.51510620117153</v>
      </c>
      <c r="Q15" s="26">
        <f t="shared" ref="Q15:Q18" si="13">STDEV(S15:W15)</f>
        <v>375.66372712582603</v>
      </c>
      <c r="R15" s="15">
        <f t="shared" si="4"/>
        <v>2</v>
      </c>
      <c r="S15" s="26">
        <f>-405.880737304687</f>
        <v>-405.88073730468699</v>
      </c>
      <c r="T15" s="26"/>
      <c r="U15" s="26"/>
      <c r="V15" s="26"/>
      <c r="W15" s="15">
        <f>-937.149475097656</f>
        <v>-937.14947509765602</v>
      </c>
      <c r="X15" s="87"/>
      <c r="Y15" s="1"/>
      <c r="Z15" s="1"/>
      <c r="AA15" s="1"/>
      <c r="AB15" s="1"/>
      <c r="AC15" s="1"/>
      <c r="AD15" s="1"/>
      <c r="AE15" s="4"/>
      <c r="AG15" s="154"/>
      <c r="AH15" s="14">
        <v>10</v>
      </c>
      <c r="AI15" s="30">
        <f t="shared" si="5"/>
        <v>-59.1949458885192</v>
      </c>
      <c r="AJ15" s="26"/>
      <c r="AK15" s="15">
        <f t="shared" si="6"/>
        <v>1</v>
      </c>
      <c r="AL15" s="30">
        <f>-59.1949458885192</f>
        <v>-59.1949458885192</v>
      </c>
      <c r="AM15" s="26"/>
      <c r="AN15" s="26"/>
      <c r="AO15" s="26"/>
      <c r="AP15" s="15"/>
      <c r="AQ15" s="1"/>
      <c r="AR15" s="1"/>
      <c r="AS15" s="1"/>
      <c r="AT15" s="1"/>
      <c r="AU15" s="1"/>
      <c r="AV15" s="1"/>
      <c r="AW15" s="1"/>
      <c r="AX15" s="4"/>
      <c r="AZ15" s="154"/>
      <c r="BA15" s="14">
        <v>10</v>
      </c>
      <c r="BB15" s="30"/>
      <c r="BC15" s="26"/>
      <c r="BD15" s="15">
        <f t="shared" si="8"/>
        <v>2</v>
      </c>
      <c r="BE15" s="30">
        <v>1.10562431812286</v>
      </c>
      <c r="BF15" s="26"/>
      <c r="BG15" s="26"/>
      <c r="BH15" s="26"/>
      <c r="BI15" s="15">
        <v>4.0104522705078098</v>
      </c>
      <c r="BJ15" s="1"/>
      <c r="BK15" s="1"/>
      <c r="BL15" s="1"/>
      <c r="BM15" s="1"/>
      <c r="BN15" s="1"/>
      <c r="BO15" s="1"/>
      <c r="BP15" s="1"/>
      <c r="BQ15" s="4"/>
      <c r="BS15" s="154"/>
      <c r="BT15" s="14">
        <v>10</v>
      </c>
      <c r="BU15" s="30"/>
      <c r="BV15" s="26"/>
      <c r="BW15" s="15">
        <f t="shared" si="10"/>
        <v>1</v>
      </c>
      <c r="BX15" s="30">
        <v>179.09350944838701</v>
      </c>
      <c r="BY15" s="26"/>
      <c r="BZ15" s="26"/>
      <c r="CA15" s="26"/>
      <c r="CB15" s="15"/>
      <c r="CC15" s="1"/>
      <c r="CD15" s="1"/>
      <c r="CE15" s="1"/>
      <c r="CF15" s="1"/>
      <c r="CG15" s="1"/>
      <c r="CH15" s="1"/>
      <c r="CI15" s="1"/>
      <c r="CJ15" s="4"/>
      <c r="CL15" s="154"/>
      <c r="CM15" s="14">
        <v>10</v>
      </c>
      <c r="CN15" s="30"/>
      <c r="CO15" s="26"/>
      <c r="CP15" s="15">
        <f t="shared" si="12"/>
        <v>1</v>
      </c>
      <c r="CQ15" s="30">
        <v>54.1987604339757</v>
      </c>
      <c r="CR15" s="26"/>
      <c r="CS15" s="26"/>
      <c r="CT15" s="26"/>
      <c r="CU15" s="15"/>
      <c r="CV15" s="1"/>
      <c r="CW15" s="1"/>
      <c r="CX15" s="1"/>
      <c r="CY15" s="1"/>
      <c r="CZ15" s="1"/>
      <c r="DA15" s="1"/>
      <c r="DB15" s="1"/>
      <c r="DC15" s="4"/>
    </row>
    <row r="16" spans="1:107" x14ac:dyDescent="0.2">
      <c r="A16" s="134"/>
      <c r="B16" s="104">
        <v>-101.47173333333335</v>
      </c>
      <c r="C16" s="106">
        <f t="shared" si="0"/>
        <v>-1.2644496666666665</v>
      </c>
      <c r="D16" s="98">
        <f t="shared" si="1"/>
        <v>0.95814500423491922</v>
      </c>
      <c r="E16" s="107">
        <f t="shared" si="2"/>
        <v>3</v>
      </c>
      <c r="F16" s="106">
        <v>-2.3028599999999999</v>
      </c>
      <c r="G16" s="98">
        <v>-1.0758799999999999</v>
      </c>
      <c r="H16" s="98">
        <v>-0.41460900000000001</v>
      </c>
      <c r="I16" s="100"/>
      <c r="J16" s="101"/>
      <c r="K16" s="100"/>
      <c r="L16" s="101"/>
      <c r="N16" s="154"/>
      <c r="O16" s="31">
        <v>15</v>
      </c>
      <c r="P16" s="30"/>
      <c r="Q16" s="26"/>
      <c r="R16" s="15">
        <f t="shared" si="4"/>
        <v>0</v>
      </c>
      <c r="S16" s="26"/>
      <c r="T16" s="26"/>
      <c r="U16" s="26"/>
      <c r="V16" s="26"/>
      <c r="W16" s="15"/>
      <c r="X16" s="87"/>
      <c r="Y16" s="1"/>
      <c r="Z16" s="1"/>
      <c r="AA16" s="1"/>
      <c r="AB16" s="1"/>
      <c r="AC16" s="1"/>
      <c r="AD16" s="1"/>
      <c r="AE16" s="4"/>
      <c r="AG16" s="154"/>
      <c r="AH16" s="31">
        <v>15</v>
      </c>
      <c r="AI16" s="30"/>
      <c r="AJ16" s="26"/>
      <c r="AK16" s="15">
        <f t="shared" si="6"/>
        <v>0</v>
      </c>
      <c r="AL16" s="30"/>
      <c r="AM16" s="26"/>
      <c r="AN16" s="26"/>
      <c r="AO16" s="26"/>
      <c r="AP16" s="15"/>
      <c r="AQ16" s="1"/>
      <c r="AR16" s="1"/>
      <c r="AS16" s="1"/>
      <c r="AT16" s="1"/>
      <c r="AU16" s="1"/>
      <c r="AV16" s="1"/>
      <c r="AW16" s="1"/>
      <c r="AX16" s="4"/>
      <c r="AZ16" s="154"/>
      <c r="BA16" s="31">
        <v>15</v>
      </c>
      <c r="BB16" s="30"/>
      <c r="BC16" s="26"/>
      <c r="BD16" s="15">
        <f t="shared" si="8"/>
        <v>0</v>
      </c>
      <c r="BE16" s="30"/>
      <c r="BF16" s="26"/>
      <c r="BG16" s="26"/>
      <c r="BH16" s="26"/>
      <c r="BI16" s="15"/>
      <c r="BJ16" s="1"/>
      <c r="BK16" s="1"/>
      <c r="BL16" s="1"/>
      <c r="BM16" s="1"/>
      <c r="BN16" s="1"/>
      <c r="BO16" s="1"/>
      <c r="BP16" s="1"/>
      <c r="BQ16" s="4"/>
      <c r="BS16" s="154"/>
      <c r="BT16" s="31">
        <v>15</v>
      </c>
      <c r="BU16" s="30"/>
      <c r="BV16" s="26"/>
      <c r="BW16" s="15">
        <f t="shared" si="10"/>
        <v>0</v>
      </c>
      <c r="BX16" s="30"/>
      <c r="BY16" s="26"/>
      <c r="BZ16" s="26"/>
      <c r="CA16" s="26"/>
      <c r="CB16" s="15"/>
      <c r="CC16" s="1"/>
      <c r="CD16" s="1"/>
      <c r="CE16" s="1"/>
      <c r="CF16" s="1"/>
      <c r="CG16" s="1"/>
      <c r="CH16" s="1"/>
      <c r="CI16" s="1"/>
      <c r="CJ16" s="4"/>
      <c r="CL16" s="154"/>
      <c r="CM16" s="31">
        <v>15</v>
      </c>
      <c r="CN16" s="30"/>
      <c r="CO16" s="26"/>
      <c r="CP16" s="15">
        <f t="shared" si="12"/>
        <v>0</v>
      </c>
      <c r="CQ16" s="30"/>
      <c r="CR16" s="26"/>
      <c r="CS16" s="26"/>
      <c r="CT16" s="26"/>
      <c r="CU16" s="15"/>
      <c r="CV16" s="1"/>
      <c r="CW16" s="1"/>
      <c r="CX16" s="1"/>
      <c r="CY16" s="1"/>
      <c r="CZ16" s="1"/>
      <c r="DA16" s="1"/>
      <c r="DB16" s="1"/>
      <c r="DC16" s="4"/>
    </row>
    <row r="17" spans="1:107" x14ac:dyDescent="0.2">
      <c r="A17" s="134"/>
      <c r="B17" s="104">
        <v>-88.035566666666682</v>
      </c>
      <c r="C17" s="106">
        <f t="shared" si="0"/>
        <v>-0.8234707333333332</v>
      </c>
      <c r="D17" s="98">
        <f t="shared" si="1"/>
        <v>0.58698025762304262</v>
      </c>
      <c r="E17" s="107">
        <f t="shared" si="2"/>
        <v>3</v>
      </c>
      <c r="F17" s="106">
        <v>-1.4508099999999999</v>
      </c>
      <c r="G17" s="98">
        <v>-0.73201699999999992</v>
      </c>
      <c r="H17" s="98">
        <v>-0.28758519999999999</v>
      </c>
      <c r="I17" s="100"/>
      <c r="J17" s="101"/>
      <c r="K17" s="100"/>
      <c r="L17" s="101"/>
      <c r="N17" s="154"/>
      <c r="O17" s="14">
        <v>20.23</v>
      </c>
      <c r="P17" s="30">
        <f t="shared" si="3"/>
        <v>-706.75801595051962</v>
      </c>
      <c r="Q17" s="26">
        <f t="shared" si="13"/>
        <v>410.91746863088616</v>
      </c>
      <c r="R17" s="15">
        <f t="shared" si="4"/>
        <v>3</v>
      </c>
      <c r="S17" s="26">
        <f>-389.401245117187</f>
        <v>-389.40124511718699</v>
      </c>
      <c r="T17" s="26"/>
      <c r="U17" s="26"/>
      <c r="V17" s="26">
        <f>-559.958618164062</f>
        <v>-559.95861816406205</v>
      </c>
      <c r="W17" s="15">
        <f>-1170.91418457031</f>
        <v>-1170.91418457031</v>
      </c>
      <c r="X17" s="87"/>
      <c r="Y17" s="1"/>
      <c r="Z17" s="1"/>
      <c r="AA17" s="1"/>
      <c r="AB17" s="1"/>
      <c r="AC17" s="1"/>
      <c r="AD17" s="1"/>
      <c r="AE17" s="4"/>
      <c r="AG17" s="154"/>
      <c r="AH17" s="14">
        <v>20.23</v>
      </c>
      <c r="AI17" s="30">
        <f t="shared" ref="AI17:AI18" si="14">AVERAGE(AL17:AP17)</f>
        <v>-60.079955749511697</v>
      </c>
      <c r="AJ17" s="26"/>
      <c r="AK17" s="15">
        <f t="shared" si="6"/>
        <v>1</v>
      </c>
      <c r="AL17" s="30">
        <f>-60.0799557495117</f>
        <v>-60.079955749511697</v>
      </c>
      <c r="AM17" s="26"/>
      <c r="AN17" s="26"/>
      <c r="AO17" s="26"/>
      <c r="AP17" s="15"/>
      <c r="AQ17" s="1"/>
      <c r="AR17" s="1"/>
      <c r="AS17" s="1"/>
      <c r="AT17" s="1"/>
      <c r="AU17" s="1"/>
      <c r="AV17" s="1"/>
      <c r="AW17" s="1"/>
      <c r="AX17" s="4"/>
      <c r="AZ17" s="154"/>
      <c r="BA17" s="14">
        <v>20.23</v>
      </c>
      <c r="BB17" s="30">
        <f t="shared" ref="BB17:BB18" si="15">AVERAGE(BE17:BI17)</f>
        <v>1.7109793573617929</v>
      </c>
      <c r="BC17" s="26">
        <f>STDEV(BE17:BI17)</f>
        <v>1.9419566614481834</v>
      </c>
      <c r="BD17" s="15">
        <f t="shared" si="8"/>
        <v>3</v>
      </c>
      <c r="BE17" s="30">
        <v>0.98408728837966897</v>
      </c>
      <c r="BF17" s="26"/>
      <c r="BG17" s="26"/>
      <c r="BH17" s="26">
        <v>0.23733077943325001</v>
      </c>
      <c r="BI17" s="15">
        <v>3.91152000427246</v>
      </c>
      <c r="BJ17" s="1"/>
      <c r="BK17" s="1"/>
      <c r="BL17" s="1"/>
      <c r="BM17" s="1"/>
      <c r="BN17" s="1"/>
      <c r="BO17" s="1"/>
      <c r="BP17" s="1"/>
      <c r="BQ17" s="4"/>
      <c r="BS17" s="154"/>
      <c r="BT17" s="14">
        <v>20.23</v>
      </c>
      <c r="BU17" s="30">
        <f t="shared" ref="BU17" si="16">AVERAGE(BX17:CB17)</f>
        <v>178.57642402757199</v>
      </c>
      <c r="BV17" s="26"/>
      <c r="BW17" s="15">
        <f t="shared" si="10"/>
        <v>1</v>
      </c>
      <c r="BX17" s="30">
        <v>178.57642402757199</v>
      </c>
      <c r="BY17" s="26"/>
      <c r="BZ17" s="26"/>
      <c r="CA17" s="26"/>
      <c r="CB17" s="15"/>
      <c r="CC17" s="1"/>
      <c r="CD17" s="1"/>
      <c r="CE17" s="1"/>
      <c r="CF17" s="1"/>
      <c r="CG17" s="1"/>
      <c r="CH17" s="1"/>
      <c r="CI17" s="1"/>
      <c r="CJ17" s="4"/>
      <c r="CL17" s="154"/>
      <c r="CM17" s="14">
        <v>20.23</v>
      </c>
      <c r="CN17" s="30">
        <f t="shared" ref="CN17" si="17">AVERAGE(CQ17:CU17)</f>
        <v>54.185169705780403</v>
      </c>
      <c r="CO17" s="26"/>
      <c r="CP17" s="15">
        <f t="shared" si="12"/>
        <v>1</v>
      </c>
      <c r="CQ17" s="30">
        <v>54.185169705780403</v>
      </c>
      <c r="CR17" s="26"/>
      <c r="CS17" s="26"/>
      <c r="CT17" s="26"/>
      <c r="CU17" s="15"/>
      <c r="CV17" s="1"/>
      <c r="CW17" s="1"/>
      <c r="CX17" s="1"/>
      <c r="CY17" s="1"/>
      <c r="CZ17" s="1"/>
      <c r="DA17" s="1"/>
      <c r="DB17" s="1"/>
      <c r="DC17" s="4"/>
    </row>
    <row r="18" spans="1:107" x14ac:dyDescent="0.2">
      <c r="A18" s="134"/>
      <c r="B18" s="104">
        <v>-75.122733333333329</v>
      </c>
      <c r="C18" s="106">
        <f t="shared" si="0"/>
        <v>-0.4491644766666667</v>
      </c>
      <c r="D18" s="98">
        <f t="shared" si="1"/>
        <v>0.28655108681491948</v>
      </c>
      <c r="E18" s="107">
        <f t="shared" si="2"/>
        <v>3</v>
      </c>
      <c r="F18" s="106">
        <v>-0.74585000000000001</v>
      </c>
      <c r="G18" s="98">
        <v>-0.42768699999999998</v>
      </c>
      <c r="H18" s="98">
        <v>-0.17395643000000002</v>
      </c>
      <c r="I18" s="100"/>
      <c r="J18" s="101"/>
      <c r="K18" s="100"/>
      <c r="L18" s="101"/>
      <c r="N18" s="154"/>
      <c r="O18" s="8">
        <v>30.47</v>
      </c>
      <c r="P18" s="11">
        <f t="shared" si="3"/>
        <v>-1078.4455078124986</v>
      </c>
      <c r="Q18" s="12">
        <f t="shared" si="13"/>
        <v>1128.263291897752</v>
      </c>
      <c r="R18" s="13">
        <f t="shared" si="4"/>
        <v>5</v>
      </c>
      <c r="S18" s="12">
        <f>-335.026824951171</f>
        <v>-335.02682495117102</v>
      </c>
      <c r="T18" s="12">
        <f>-1185.31298828125</f>
        <v>-1185.31298828125</v>
      </c>
      <c r="U18" s="12">
        <f>-353.57583618164</f>
        <v>-353.57583618164</v>
      </c>
      <c r="V18" s="12">
        <f>-519.065063476562</f>
        <v>-519.06506347656205</v>
      </c>
      <c r="W18" s="13">
        <f>-2999.24682617187</f>
        <v>-2999.24682617187</v>
      </c>
      <c r="X18" s="87"/>
      <c r="Y18" s="1"/>
      <c r="Z18" s="1"/>
      <c r="AA18" s="1"/>
      <c r="AB18" s="1"/>
      <c r="AC18" s="1"/>
      <c r="AD18" s="1"/>
      <c r="AE18" s="4"/>
      <c r="AG18" s="154"/>
      <c r="AH18" s="8">
        <v>30.47</v>
      </c>
      <c r="AI18" s="11">
        <f t="shared" si="14"/>
        <v>-42.10476856231687</v>
      </c>
      <c r="AJ18" s="12">
        <f t="shared" ref="AJ18" si="18">STDEV(AL18:AP18)</f>
        <v>21.814470995116558</v>
      </c>
      <c r="AK18" s="13">
        <f t="shared" si="6"/>
        <v>3</v>
      </c>
      <c r="AL18" s="11">
        <f>-56.8041709899902</f>
        <v>-56.804170989990197</v>
      </c>
      <c r="AM18" s="12">
        <f>-52.4699430465698</f>
        <v>-52.469943046569803</v>
      </c>
      <c r="AN18" s="12">
        <f>-17.0401916503906</f>
        <v>-17.0401916503906</v>
      </c>
      <c r="AO18" s="12"/>
      <c r="AP18" s="13"/>
      <c r="AQ18" s="1"/>
      <c r="AR18" s="1"/>
      <c r="AS18" s="1"/>
      <c r="AT18" s="1"/>
      <c r="AU18" s="1"/>
      <c r="AV18" s="1"/>
      <c r="AW18" s="1"/>
      <c r="AX18" s="4"/>
      <c r="AZ18" s="154"/>
      <c r="BA18" s="8">
        <v>30.47</v>
      </c>
      <c r="BB18" s="11">
        <f t="shared" si="15"/>
        <v>1.0365441083908042</v>
      </c>
      <c r="BC18" s="12">
        <f t="shared" ref="BC18" si="19">STDEV(BE18:BI18)</f>
        <v>0.4443846688899597</v>
      </c>
      <c r="BD18" s="13">
        <f t="shared" si="8"/>
        <v>5</v>
      </c>
      <c r="BE18" s="11">
        <v>0.66242504119873002</v>
      </c>
      <c r="BF18" s="12">
        <v>1.3462830781936601</v>
      </c>
      <c r="BG18" s="12">
        <v>1.02698349952697</v>
      </c>
      <c r="BH18" s="12">
        <v>0.54854655265808105</v>
      </c>
      <c r="BI18" s="13">
        <v>1.59848237037658</v>
      </c>
      <c r="BJ18" s="1"/>
      <c r="BK18" s="1"/>
      <c r="BL18" s="1"/>
      <c r="BM18" s="1"/>
      <c r="BN18" s="1"/>
      <c r="BO18" s="1"/>
      <c r="BP18" s="1"/>
      <c r="BQ18" s="4"/>
      <c r="BS18" s="154"/>
      <c r="BT18" s="8">
        <v>30.47</v>
      </c>
      <c r="BU18" s="11">
        <f>AVERAGE(BX18:CB18)</f>
        <v>134.1941370249653</v>
      </c>
      <c r="BV18" s="12">
        <f>STDEV(BX18:CB18)</f>
        <v>38.453038812682536</v>
      </c>
      <c r="BW18" s="13">
        <f>COUNT(BX18:CB18)</f>
        <v>3</v>
      </c>
      <c r="BX18" s="11">
        <v>156.917080426323</v>
      </c>
      <c r="BY18" s="12">
        <v>89.796517299528901</v>
      </c>
      <c r="BZ18" s="12">
        <v>155.86881334904399</v>
      </c>
      <c r="CA18" s="12"/>
      <c r="CB18" s="13"/>
      <c r="CC18" s="1"/>
      <c r="CD18" s="1"/>
      <c r="CE18" s="1"/>
      <c r="CF18" s="1"/>
      <c r="CG18" s="1"/>
      <c r="CH18" s="1"/>
      <c r="CI18" s="1"/>
      <c r="CJ18" s="4"/>
      <c r="CL18" s="154"/>
      <c r="CM18" s="8">
        <v>30.47</v>
      </c>
      <c r="CN18" s="11">
        <f>AVERAGE(CQ18:CU18)</f>
        <v>49.582690665400634</v>
      </c>
      <c r="CO18" s="12">
        <f>STDEV(CQ18:CU18)</f>
        <v>10.311867937120175</v>
      </c>
      <c r="CP18" s="13">
        <f>COUNT(CQ18:CU18)</f>
        <v>3</v>
      </c>
      <c r="CQ18" s="11">
        <v>50.670187705381899</v>
      </c>
      <c r="CR18" s="12">
        <v>59.3077119350991</v>
      </c>
      <c r="CS18" s="12">
        <v>38.770172355720902</v>
      </c>
      <c r="CT18" s="12"/>
      <c r="CU18" s="13"/>
      <c r="CV18" s="1"/>
      <c r="CW18" s="1"/>
      <c r="CX18" s="1"/>
      <c r="CY18" s="1"/>
      <c r="CZ18" s="1"/>
      <c r="DA18" s="1"/>
      <c r="DB18" s="1"/>
      <c r="DC18" s="4"/>
    </row>
    <row r="19" spans="1:107" x14ac:dyDescent="0.2">
      <c r="A19" s="134"/>
      <c r="B19" s="104">
        <v>-62.567233333333327</v>
      </c>
      <c r="C19" s="106">
        <f t="shared" si="0"/>
        <v>-4.9462133333333332E-2</v>
      </c>
      <c r="D19" s="98">
        <f t="shared" si="1"/>
        <v>4.9739849560923817E-2</v>
      </c>
      <c r="E19" s="107">
        <f t="shared" si="2"/>
        <v>3</v>
      </c>
      <c r="F19" s="106">
        <v>-4.1503900000000003E-2</v>
      </c>
      <c r="G19" s="98">
        <v>-0.1027013</v>
      </c>
      <c r="H19" s="98">
        <v>-4.1812000000000038E-3</v>
      </c>
      <c r="I19" s="100"/>
      <c r="J19" s="101"/>
      <c r="K19" s="100"/>
      <c r="L19" s="101"/>
      <c r="N19" s="154"/>
      <c r="O19" s="1"/>
      <c r="P19" s="1"/>
      <c r="Q19" s="1"/>
      <c r="R19" s="1"/>
      <c r="S19" s="1"/>
      <c r="T19" s="1"/>
      <c r="U19" s="1"/>
      <c r="V19" s="1"/>
      <c r="W19" s="1"/>
      <c r="X19" s="87"/>
      <c r="Y19" s="1"/>
      <c r="Z19" s="1"/>
      <c r="AA19" s="1"/>
      <c r="AB19" s="1"/>
      <c r="AC19" s="1"/>
      <c r="AD19" s="1"/>
      <c r="AE19" s="4"/>
      <c r="AG19" s="154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4"/>
      <c r="AZ19" s="154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4"/>
      <c r="BS19" s="154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4"/>
      <c r="CL19" s="154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4"/>
    </row>
    <row r="20" spans="1:107" x14ac:dyDescent="0.2">
      <c r="A20" s="134"/>
      <c r="B20" s="104">
        <v>-50.280200000000001</v>
      </c>
      <c r="C20" s="106">
        <f t="shared" si="0"/>
        <v>0.3490516666666667</v>
      </c>
      <c r="D20" s="98">
        <f t="shared" si="1"/>
        <v>0.31294429443965477</v>
      </c>
      <c r="E20" s="107">
        <f t="shared" si="2"/>
        <v>3</v>
      </c>
      <c r="F20" s="106">
        <v>0.69030800000000003</v>
      </c>
      <c r="G20" s="98">
        <v>0.28134199999999998</v>
      </c>
      <c r="H20" s="98">
        <v>7.5504999999999989E-2</v>
      </c>
      <c r="I20" s="100"/>
      <c r="J20" s="101"/>
      <c r="K20" s="100"/>
      <c r="L20" s="101"/>
      <c r="N20" s="154"/>
      <c r="O20" s="175" t="s">
        <v>47</v>
      </c>
      <c r="P20" s="176"/>
      <c r="Q20" s="176"/>
      <c r="R20" s="176"/>
      <c r="S20" s="176"/>
      <c r="T20" s="176"/>
      <c r="U20" s="176"/>
      <c r="V20" s="176"/>
      <c r="W20" s="176"/>
      <c r="X20" s="176"/>
      <c r="Y20" s="177"/>
      <c r="Z20" s="52"/>
      <c r="AA20" s="1"/>
      <c r="AB20" s="1"/>
      <c r="AC20" s="1"/>
      <c r="AD20" s="1"/>
      <c r="AE20" s="4"/>
      <c r="AG20" s="154"/>
      <c r="AH20" s="175" t="s">
        <v>47</v>
      </c>
      <c r="AI20" s="176"/>
      <c r="AJ20" s="176"/>
      <c r="AK20" s="176"/>
      <c r="AL20" s="176"/>
      <c r="AM20" s="176"/>
      <c r="AN20" s="176"/>
      <c r="AO20" s="176"/>
      <c r="AP20" s="176"/>
      <c r="AQ20" s="176"/>
      <c r="AR20" s="177"/>
      <c r="AS20" s="52"/>
      <c r="AT20" s="1"/>
      <c r="AU20" s="1"/>
      <c r="AV20" s="1"/>
      <c r="AW20" s="1"/>
      <c r="AX20" s="4"/>
      <c r="AZ20" s="154"/>
      <c r="BA20" s="199" t="s">
        <v>47</v>
      </c>
      <c r="BB20" s="200"/>
      <c r="BC20" s="200"/>
      <c r="BD20" s="200"/>
      <c r="BE20" s="200"/>
      <c r="BF20" s="200"/>
      <c r="BG20" s="200"/>
      <c r="BH20" s="200"/>
      <c r="BI20" s="200"/>
      <c r="BJ20" s="200"/>
      <c r="BK20" s="201"/>
      <c r="BL20" s="52"/>
      <c r="BM20" s="1"/>
      <c r="BN20" s="1"/>
      <c r="BO20" s="1"/>
      <c r="BP20" s="1"/>
      <c r="BQ20" s="4"/>
      <c r="BS20" s="154"/>
      <c r="BT20" s="175" t="s">
        <v>47</v>
      </c>
      <c r="BU20" s="176"/>
      <c r="BV20" s="176"/>
      <c r="BW20" s="176"/>
      <c r="BX20" s="176"/>
      <c r="BY20" s="176"/>
      <c r="BZ20" s="176"/>
      <c r="CA20" s="176"/>
      <c r="CB20" s="176"/>
      <c r="CC20" s="176"/>
      <c r="CD20" s="177"/>
      <c r="CE20" s="52"/>
      <c r="CF20" s="1"/>
      <c r="CG20" s="1"/>
      <c r="CH20" s="1"/>
      <c r="CI20" s="1"/>
      <c r="CJ20" s="4"/>
      <c r="CL20" s="154"/>
      <c r="CM20" s="175" t="s">
        <v>47</v>
      </c>
      <c r="CN20" s="176"/>
      <c r="CO20" s="176"/>
      <c r="CP20" s="176"/>
      <c r="CQ20" s="176"/>
      <c r="CR20" s="176"/>
      <c r="CS20" s="176"/>
      <c r="CT20" s="176"/>
      <c r="CU20" s="176"/>
      <c r="CV20" s="176"/>
      <c r="CW20" s="177"/>
      <c r="CX20" s="52"/>
      <c r="CY20" s="1"/>
      <c r="CZ20" s="1"/>
      <c r="DA20" s="1"/>
      <c r="DB20" s="1"/>
      <c r="DC20" s="4"/>
    </row>
    <row r="21" spans="1:107" x14ac:dyDescent="0.2">
      <c r="A21" s="134"/>
      <c r="B21" s="105">
        <v>-35.704966666666671</v>
      </c>
      <c r="C21" s="108">
        <f t="shared" si="0"/>
        <v>0.73308399999999996</v>
      </c>
      <c r="D21" s="102">
        <f t="shared" si="1"/>
        <v>0.6282398592663474</v>
      </c>
      <c r="E21" s="109">
        <f t="shared" si="2"/>
        <v>3</v>
      </c>
      <c r="F21" s="108">
        <v>1.42883</v>
      </c>
      <c r="G21" s="102">
        <v>0.563083</v>
      </c>
      <c r="H21" s="102">
        <v>0.20733900000000002</v>
      </c>
      <c r="I21" s="100"/>
      <c r="J21" s="101"/>
      <c r="K21" s="100"/>
      <c r="L21" s="39"/>
      <c r="N21" s="154"/>
      <c r="O21" s="158" t="s">
        <v>10</v>
      </c>
      <c r="P21" s="18" t="s">
        <v>3</v>
      </c>
      <c r="Q21" s="18" t="s">
        <v>5</v>
      </c>
      <c r="R21" s="19" t="s">
        <v>4</v>
      </c>
      <c r="S21" s="140" t="s">
        <v>11</v>
      </c>
      <c r="T21" s="140"/>
      <c r="U21" s="140"/>
      <c r="V21" s="140"/>
      <c r="W21" s="140"/>
      <c r="X21" s="140"/>
      <c r="Y21" s="141"/>
      <c r="Z21" s="53"/>
      <c r="AA21" s="1"/>
      <c r="AB21" s="1"/>
      <c r="AC21" s="1"/>
      <c r="AD21" s="1"/>
      <c r="AE21" s="4"/>
      <c r="AG21" s="154"/>
      <c r="AH21" s="158" t="s">
        <v>10</v>
      </c>
      <c r="AI21" s="18" t="s">
        <v>3</v>
      </c>
      <c r="AJ21" s="18" t="s">
        <v>5</v>
      </c>
      <c r="AK21" s="19" t="s">
        <v>4</v>
      </c>
      <c r="AL21" s="140" t="s">
        <v>11</v>
      </c>
      <c r="AM21" s="140"/>
      <c r="AN21" s="140"/>
      <c r="AO21" s="140"/>
      <c r="AP21" s="140"/>
      <c r="AQ21" s="140"/>
      <c r="AR21" s="141"/>
      <c r="AS21" s="53"/>
      <c r="AT21" s="1"/>
      <c r="AU21" s="1"/>
      <c r="AV21" s="1"/>
      <c r="AW21" s="1"/>
      <c r="AX21" s="4"/>
      <c r="AZ21" s="154"/>
      <c r="BA21" s="158" t="s">
        <v>10</v>
      </c>
      <c r="BB21" s="18" t="s">
        <v>3</v>
      </c>
      <c r="BC21" s="18" t="s">
        <v>5</v>
      </c>
      <c r="BD21" s="19" t="s">
        <v>4</v>
      </c>
      <c r="BE21" s="187" t="s">
        <v>11</v>
      </c>
      <c r="BF21" s="187"/>
      <c r="BG21" s="187"/>
      <c r="BH21" s="187"/>
      <c r="BI21" s="187"/>
      <c r="BJ21" s="187"/>
      <c r="BK21" s="188"/>
      <c r="BL21" s="53"/>
      <c r="BM21" s="1"/>
      <c r="BN21" s="1"/>
      <c r="BO21" s="1"/>
      <c r="BP21" s="1"/>
      <c r="BQ21" s="4"/>
      <c r="BS21" s="154"/>
      <c r="BT21" s="158" t="s">
        <v>10</v>
      </c>
      <c r="BU21" s="18" t="s">
        <v>3</v>
      </c>
      <c r="BV21" s="18" t="s">
        <v>5</v>
      </c>
      <c r="BW21" s="19" t="s">
        <v>4</v>
      </c>
      <c r="BX21" s="140" t="s">
        <v>11</v>
      </c>
      <c r="BY21" s="140"/>
      <c r="BZ21" s="140"/>
      <c r="CA21" s="140"/>
      <c r="CB21" s="140"/>
      <c r="CC21" s="140"/>
      <c r="CD21" s="141"/>
      <c r="CE21" s="53"/>
      <c r="CF21" s="1"/>
      <c r="CG21" s="1"/>
      <c r="CH21" s="1"/>
      <c r="CI21" s="1"/>
      <c r="CJ21" s="4"/>
      <c r="CL21" s="154"/>
      <c r="CM21" s="158" t="s">
        <v>10</v>
      </c>
      <c r="CN21" s="18" t="s">
        <v>3</v>
      </c>
      <c r="CO21" s="18" t="s">
        <v>5</v>
      </c>
      <c r="CP21" s="19" t="s">
        <v>4</v>
      </c>
      <c r="CQ21" s="140" t="s">
        <v>11</v>
      </c>
      <c r="CR21" s="140"/>
      <c r="CS21" s="140"/>
      <c r="CT21" s="140"/>
      <c r="CU21" s="140"/>
      <c r="CV21" s="140"/>
      <c r="CW21" s="141"/>
      <c r="CX21" s="53"/>
      <c r="CY21" s="1"/>
      <c r="CZ21" s="1"/>
      <c r="DA21" s="1"/>
      <c r="DB21" s="1"/>
      <c r="DC21" s="4"/>
    </row>
    <row r="22" spans="1:107" x14ac:dyDescent="0.2">
      <c r="A22" s="134"/>
      <c r="B22" s="127" t="s">
        <v>40</v>
      </c>
      <c r="C22" s="132">
        <f t="shared" ref="C22" si="20">AVERAGE(F22:J22)</f>
        <v>-59.905605410555097</v>
      </c>
      <c r="D22" s="98">
        <f t="shared" ref="D22" si="21">STDEV(F22:J22)</f>
        <v>1.6225244003213966</v>
      </c>
      <c r="E22" s="107">
        <f t="shared" ref="E22" si="22">COUNT(F22:J22)</f>
        <v>3</v>
      </c>
      <c r="F22" s="128">
        <v>-61.775364209174498</v>
      </c>
      <c r="G22" s="129">
        <v>-59.073618945294903</v>
      </c>
      <c r="H22" s="130">
        <v>-58.867833077195897</v>
      </c>
      <c r="I22" s="157" t="s">
        <v>41</v>
      </c>
      <c r="J22" s="156"/>
      <c r="K22" s="120"/>
      <c r="L22" s="39"/>
      <c r="N22" s="154"/>
      <c r="O22" s="166"/>
      <c r="P22" s="144" t="s">
        <v>12</v>
      </c>
      <c r="Q22" s="144"/>
      <c r="R22" s="145"/>
      <c r="S22" s="56">
        <v>12</v>
      </c>
      <c r="T22" s="51">
        <v>43</v>
      </c>
      <c r="U22" s="51">
        <v>44</v>
      </c>
      <c r="V22" s="51">
        <v>45</v>
      </c>
      <c r="W22" s="51">
        <v>152</v>
      </c>
      <c r="X22" s="89">
        <v>153</v>
      </c>
      <c r="Y22" s="51">
        <v>155</v>
      </c>
      <c r="Z22" s="26"/>
      <c r="AA22" s="1"/>
      <c r="AB22" s="1"/>
      <c r="AC22" s="1"/>
      <c r="AD22" s="1"/>
      <c r="AE22" s="4"/>
      <c r="AG22" s="154"/>
      <c r="AH22" s="166"/>
      <c r="AI22" s="144" t="s">
        <v>12</v>
      </c>
      <c r="AJ22" s="144"/>
      <c r="AK22" s="145"/>
      <c r="AL22" s="56">
        <v>12</v>
      </c>
      <c r="AM22" s="51">
        <v>43</v>
      </c>
      <c r="AN22" s="51">
        <v>44</v>
      </c>
      <c r="AO22" s="51">
        <v>45</v>
      </c>
      <c r="AP22" s="51">
        <v>152</v>
      </c>
      <c r="AQ22" s="51">
        <v>153</v>
      </c>
      <c r="AR22" s="51">
        <v>155</v>
      </c>
      <c r="AS22" s="26"/>
      <c r="AT22" s="1"/>
      <c r="AU22" s="1"/>
      <c r="AV22" s="1"/>
      <c r="AW22" s="1"/>
      <c r="AX22" s="4"/>
      <c r="AZ22" s="154"/>
      <c r="BA22" s="166"/>
      <c r="BB22" s="144" t="s">
        <v>12</v>
      </c>
      <c r="BC22" s="144"/>
      <c r="BD22" s="145"/>
      <c r="BE22" s="56">
        <v>12</v>
      </c>
      <c r="BF22" s="51">
        <v>43</v>
      </c>
      <c r="BG22" s="51">
        <v>44</v>
      </c>
      <c r="BH22" s="51">
        <v>45</v>
      </c>
      <c r="BI22" s="51">
        <v>152</v>
      </c>
      <c r="BJ22" s="51">
        <v>153</v>
      </c>
      <c r="BK22" s="51">
        <v>155</v>
      </c>
      <c r="BL22" s="26"/>
      <c r="BM22" s="1"/>
      <c r="BN22" s="1"/>
      <c r="BO22" s="1"/>
      <c r="BP22" s="1"/>
      <c r="BQ22" s="4"/>
      <c r="BS22" s="154"/>
      <c r="BT22" s="166"/>
      <c r="BU22" s="144" t="s">
        <v>12</v>
      </c>
      <c r="BV22" s="144"/>
      <c r="BW22" s="145"/>
      <c r="BX22" s="56">
        <v>12</v>
      </c>
      <c r="BY22" s="51">
        <v>43</v>
      </c>
      <c r="BZ22" s="51">
        <v>44</v>
      </c>
      <c r="CA22" s="51">
        <v>45</v>
      </c>
      <c r="CB22" s="51">
        <v>152</v>
      </c>
      <c r="CC22" s="51">
        <v>153</v>
      </c>
      <c r="CD22" s="51">
        <v>155</v>
      </c>
      <c r="CE22" s="26"/>
      <c r="CF22" s="1"/>
      <c r="CG22" s="1"/>
      <c r="CH22" s="1"/>
      <c r="CI22" s="1"/>
      <c r="CJ22" s="4"/>
      <c r="CL22" s="154"/>
      <c r="CM22" s="166"/>
      <c r="CN22" s="144" t="s">
        <v>12</v>
      </c>
      <c r="CO22" s="144"/>
      <c r="CP22" s="145"/>
      <c r="CQ22" s="56">
        <v>12</v>
      </c>
      <c r="CR22" s="51">
        <v>43</v>
      </c>
      <c r="CS22" s="51">
        <v>44</v>
      </c>
      <c r="CT22" s="51">
        <v>45</v>
      </c>
      <c r="CU22" s="51">
        <v>152</v>
      </c>
      <c r="CV22" s="51">
        <v>153</v>
      </c>
      <c r="CW22" s="51">
        <v>155</v>
      </c>
      <c r="CX22" s="26"/>
      <c r="CY22" s="1"/>
      <c r="CZ22" s="1"/>
      <c r="DA22" s="1"/>
      <c r="DB22" s="1"/>
      <c r="DC22" s="4"/>
    </row>
    <row r="23" spans="1:107" x14ac:dyDescent="0.2">
      <c r="A23" s="135"/>
      <c r="B23" s="165" t="s">
        <v>42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4"/>
      <c r="N23" s="154"/>
      <c r="O23" s="5">
        <v>1.05</v>
      </c>
      <c r="P23" s="77">
        <f>AVERAGE(S23:Y23)</f>
        <v>-647.09726606096478</v>
      </c>
      <c r="Q23" s="6">
        <f>STDEV(S23:Y23)</f>
        <v>454.67070421527222</v>
      </c>
      <c r="R23" s="57">
        <f>COUNT(S23:Y23)</f>
        <v>7</v>
      </c>
      <c r="S23" s="24">
        <f>-341.88818359375</f>
        <v>-341.88818359375</v>
      </c>
      <c r="T23" s="24">
        <f>-908.861694335937</f>
        <v>-908.86169433593705</v>
      </c>
      <c r="U23" s="24">
        <f>-881.8056640625</f>
        <v>-881.8056640625</v>
      </c>
      <c r="V23" s="24">
        <f>-1340.17687988281</f>
        <v>-1340.17687988281</v>
      </c>
      <c r="W23" s="24">
        <f>-164.615692138671</f>
        <v>-164.61569213867099</v>
      </c>
      <c r="X23" s="90">
        <f>-107.273178100585</f>
        <v>-107.273178100585</v>
      </c>
      <c r="Y23" s="25">
        <f>-785.0595703125</f>
        <v>-785.0595703125</v>
      </c>
      <c r="Z23" s="21"/>
      <c r="AA23" s="1"/>
      <c r="AB23" s="1"/>
      <c r="AC23" s="1"/>
      <c r="AD23" s="1"/>
      <c r="AE23" s="4"/>
      <c r="AG23" s="154"/>
      <c r="AH23" s="5">
        <v>1.05</v>
      </c>
      <c r="AI23" s="77">
        <f>AVERAGE(AL23:AR23)</f>
        <v>-128.14498465401758</v>
      </c>
      <c r="AJ23" s="6">
        <f>STDEV(AL23:AR23)</f>
        <v>46.018588086296788</v>
      </c>
      <c r="AK23" s="57">
        <f>COUNT(AL23:AR23)</f>
        <v>7</v>
      </c>
      <c r="AL23" s="60">
        <f>-172.973373413085</f>
        <v>-172.973373413085</v>
      </c>
      <c r="AM23" s="24">
        <f>-109.472068786621</f>
        <v>-109.47206878662099</v>
      </c>
      <c r="AN23" s="24">
        <f>-186.926498413086</f>
        <v>-186.92649841308599</v>
      </c>
      <c r="AO23" s="24">
        <f>-162.387619018554</f>
        <v>-162.38761901855401</v>
      </c>
      <c r="AP23" s="24">
        <f>-113.980918884277</f>
        <v>-113.980918884277</v>
      </c>
      <c r="AQ23" s="24">
        <f>-73.9907073974609</f>
        <v>-73.990707397460895</v>
      </c>
      <c r="AR23" s="25">
        <f>-77.283706665039</f>
        <v>-77.283706665039006</v>
      </c>
      <c r="AS23" s="21"/>
      <c r="AT23" s="1"/>
      <c r="AU23" s="1"/>
      <c r="AV23" s="1"/>
      <c r="AW23" s="1"/>
      <c r="AX23" s="4"/>
      <c r="AZ23" s="154"/>
      <c r="BA23" s="5">
        <v>1.05</v>
      </c>
      <c r="BB23" s="77">
        <f>AVERAGE(BE23:BK23)</f>
        <v>53.356913218906904</v>
      </c>
      <c r="BC23" s="6">
        <f>STDEV(BE23:BK23)</f>
        <v>62.710114675018097</v>
      </c>
      <c r="BD23" s="57">
        <f>COUNT(BE23:BK23)</f>
        <v>7</v>
      </c>
      <c r="BE23" s="60">
        <v>18.1781291961669</v>
      </c>
      <c r="BF23" s="24">
        <v>10.794573783874499</v>
      </c>
      <c r="BG23" s="24">
        <v>15.651837348937899</v>
      </c>
      <c r="BH23" s="24">
        <v>24.620714187621999</v>
      </c>
      <c r="BI23" s="24">
        <v>121.168586730957</v>
      </c>
      <c r="BJ23" s="24">
        <v>164.97300000000001</v>
      </c>
      <c r="BK23" s="25">
        <v>18.11155128479</v>
      </c>
      <c r="BL23" s="21"/>
      <c r="BM23" s="1"/>
      <c r="BN23" s="1"/>
      <c r="BO23" s="1"/>
      <c r="BP23" s="1"/>
      <c r="BQ23" s="4"/>
      <c r="BS23" s="154"/>
      <c r="BT23" s="5">
        <v>1.05</v>
      </c>
      <c r="BU23" s="77">
        <f>AVERAGE(BX23:CD23)</f>
        <v>246.6641242753864</v>
      </c>
      <c r="BV23" s="6">
        <f>STDEV(BX23:CD23)</f>
        <v>101.70966124583688</v>
      </c>
      <c r="BW23" s="57">
        <f>COUNT(BX23:CD23)</f>
        <v>5</v>
      </c>
      <c r="BX23" s="60">
        <v>416.10725655412</v>
      </c>
      <c r="BY23" s="24">
        <v>201.900262184761</v>
      </c>
      <c r="BZ23" s="24">
        <v>262.50741716735303</v>
      </c>
      <c r="CA23" s="24">
        <v>159.966038904963</v>
      </c>
      <c r="CB23" s="83" t="s">
        <v>25</v>
      </c>
      <c r="CC23" s="83" t="s">
        <v>25</v>
      </c>
      <c r="CD23" s="84">
        <v>192.83964656573499</v>
      </c>
      <c r="CE23" s="21"/>
      <c r="CF23" s="1"/>
      <c r="CG23" s="1"/>
      <c r="CH23" s="1"/>
      <c r="CI23" s="1"/>
      <c r="CJ23" s="4"/>
      <c r="CL23" s="154"/>
      <c r="CM23" s="5">
        <v>1.05</v>
      </c>
      <c r="CN23" s="77">
        <f>AVERAGE(CQ23:CW23)</f>
        <v>93.82082569476168</v>
      </c>
      <c r="CO23" s="6">
        <f>STDEV(CQ23:CW23)</f>
        <v>23.405481900041128</v>
      </c>
      <c r="CP23" s="57">
        <f>COUNT(CQ23:CW23)</f>
        <v>7</v>
      </c>
      <c r="CQ23" s="60">
        <v>58.911778889976098</v>
      </c>
      <c r="CR23" s="24">
        <v>136.15383080585099</v>
      </c>
      <c r="CS23" s="24">
        <v>98.497846514950297</v>
      </c>
      <c r="CT23" s="24">
        <v>83.019125476340704</v>
      </c>
      <c r="CU23" s="24">
        <v>83.938695356300997</v>
      </c>
      <c r="CV23" s="24">
        <v>96.860411452293505</v>
      </c>
      <c r="CW23" s="25">
        <v>99.364091367619096</v>
      </c>
      <c r="CX23" s="21"/>
      <c r="CY23" s="1"/>
      <c r="CZ23" s="1"/>
      <c r="DA23" s="1"/>
      <c r="DB23" s="1"/>
      <c r="DC23" s="4"/>
    </row>
    <row r="24" spans="1:107" x14ac:dyDescent="0.2">
      <c r="L24" s="112"/>
      <c r="N24" s="154"/>
      <c r="O24" s="14">
        <v>2.79</v>
      </c>
      <c r="P24" s="78">
        <f t="shared" ref="P24:P29" si="23">AVERAGE(S24:Y24)</f>
        <v>-937.01427568708061</v>
      </c>
      <c r="Q24" s="16">
        <f t="shared" ref="Q24:Q29" si="24">STDEV(S24:Y24)</f>
        <v>790.40062697090627</v>
      </c>
      <c r="R24" s="58">
        <f t="shared" ref="R24:R29" si="25">COUNT(S24:Y24)</f>
        <v>7</v>
      </c>
      <c r="S24" s="26">
        <f>-430.38916015625</f>
        <v>-430.38916015625</v>
      </c>
      <c r="T24" s="26">
        <f>-886.889038085937</f>
        <v>-886.88903808593705</v>
      </c>
      <c r="U24" s="26">
        <f>-1193.0849609375</f>
        <v>-1193.0849609375</v>
      </c>
      <c r="V24" s="26">
        <f>-2535.85571289062</f>
        <v>-2535.85571289062</v>
      </c>
      <c r="W24" s="26">
        <f>-317.813934326171</f>
        <v>-317.81393432617102</v>
      </c>
      <c r="X24" s="91">
        <f>-241.550521850586</f>
        <v>-241.55052185058599</v>
      </c>
      <c r="Y24" s="15">
        <f>-953.5166015625</f>
        <v>-953.5166015625</v>
      </c>
      <c r="Z24" s="21"/>
      <c r="AA24" s="1"/>
      <c r="AB24" s="1"/>
      <c r="AC24" s="1"/>
      <c r="AD24" s="1"/>
      <c r="AE24" s="4"/>
      <c r="AG24" s="154"/>
      <c r="AH24" s="14">
        <v>2.79</v>
      </c>
      <c r="AI24" s="78">
        <f t="shared" ref="AI24" si="26">AVERAGE(AL24:AR24)</f>
        <v>-140.38863806588259</v>
      </c>
      <c r="AJ24" s="16">
        <f>STDEV(AL24:AR24)</f>
        <v>38.374003046260086</v>
      </c>
      <c r="AK24" s="58">
        <f t="shared" ref="AK24:AK29" si="27">COUNT(AL24:AR24)</f>
        <v>7</v>
      </c>
      <c r="AL24" s="30">
        <f>-194.96434020996</f>
        <v>-194.96434020996</v>
      </c>
      <c r="AM24" s="26">
        <f>-110.265525817871</f>
        <v>-110.26552581787099</v>
      </c>
      <c r="AN24" s="26">
        <f>-172.02781677246</f>
        <v>-172.02781677246</v>
      </c>
      <c r="AO24" s="26">
        <f>-160.507736206054</f>
        <v>-160.50773620605401</v>
      </c>
      <c r="AP24" s="26">
        <f>-135.227264251709</f>
        <v>-135.22726425170899</v>
      </c>
      <c r="AQ24" s="26">
        <f>-127.146224975585</f>
        <v>-127.146224975585</v>
      </c>
      <c r="AR24" s="15">
        <f>-82.581558227539</f>
        <v>-82.581558227539006</v>
      </c>
      <c r="AS24" s="21"/>
      <c r="AT24" s="1"/>
      <c r="AU24" s="1"/>
      <c r="AV24" s="1"/>
      <c r="AW24" s="1"/>
      <c r="AX24" s="4"/>
      <c r="AZ24" s="154"/>
      <c r="BA24" s="14">
        <v>2.79</v>
      </c>
      <c r="BB24" s="78">
        <f t="shared" ref="BB24" si="28">AVERAGE(BE24:BK24)</f>
        <v>48.62479720796847</v>
      </c>
      <c r="BC24" s="16">
        <f>STDEV(BE24:BK24)</f>
        <v>56.314632824079439</v>
      </c>
      <c r="BD24" s="58">
        <f t="shared" ref="BD24:BD29" si="29">COUNT(BE24:BK24)</f>
        <v>7</v>
      </c>
      <c r="BE24" s="30">
        <v>12.3154697418212</v>
      </c>
      <c r="BF24" s="26">
        <v>4.8145842552184996</v>
      </c>
      <c r="BG24" s="26">
        <v>11.610979080200099</v>
      </c>
      <c r="BH24" s="26">
        <v>156.01962280273401</v>
      </c>
      <c r="BI24" s="26">
        <v>58.386562347412102</v>
      </c>
      <c r="BJ24" s="26">
        <v>85.971992492675696</v>
      </c>
      <c r="BK24" s="15">
        <v>11.254369735717701</v>
      </c>
      <c r="BL24" s="21"/>
      <c r="BM24" s="1"/>
      <c r="BN24" s="1"/>
      <c r="BO24" s="1"/>
      <c r="BP24" s="1"/>
      <c r="BQ24" s="4"/>
      <c r="BS24" s="154"/>
      <c r="BT24" s="14">
        <v>2.79</v>
      </c>
      <c r="BU24" s="78">
        <f t="shared" ref="BU24" si="30">AVERAGE(BX24:CD24)</f>
        <v>318.7067255100805</v>
      </c>
      <c r="BV24" s="16">
        <f>STDEV(BX24:CD24)</f>
        <v>256.40422385961449</v>
      </c>
      <c r="BW24" s="58">
        <f t="shared" ref="BW24:BW29" si="31">COUNT(BX24:CD24)</f>
        <v>7</v>
      </c>
      <c r="BX24" s="30">
        <v>347.50364179114501</v>
      </c>
      <c r="BY24" s="26">
        <v>214.50449507175799</v>
      </c>
      <c r="BZ24" s="26">
        <v>188.48218214782801</v>
      </c>
      <c r="CA24" s="26">
        <v>90.185062471096302</v>
      </c>
      <c r="CB24" s="54">
        <v>830.07899999999995</v>
      </c>
      <c r="CC24" s="54">
        <v>436.79300000000001</v>
      </c>
      <c r="CD24" s="55">
        <v>123.399697088736</v>
      </c>
      <c r="CE24" s="21"/>
      <c r="CF24" s="1"/>
      <c r="CG24" s="1"/>
      <c r="CH24" s="1"/>
      <c r="CI24" s="1"/>
      <c r="CJ24" s="4"/>
      <c r="CL24" s="154"/>
      <c r="CM24" s="14">
        <v>2.79</v>
      </c>
      <c r="CN24" s="78">
        <f t="shared" ref="CN24" si="32">AVERAGE(CQ24:CW24)</f>
        <v>89.788294841113455</v>
      </c>
      <c r="CO24" s="16">
        <f>STDEV(CQ24:CW24)</f>
        <v>25.734830773795053</v>
      </c>
      <c r="CP24" s="58">
        <f t="shared" ref="CP24:CP29" si="33">COUNT(CQ24:CW24)</f>
        <v>7</v>
      </c>
      <c r="CQ24" s="30">
        <v>46.660378054129197</v>
      </c>
      <c r="CR24" s="26">
        <v>131.550926566957</v>
      </c>
      <c r="CS24" s="26">
        <v>92.0641117060065</v>
      </c>
      <c r="CT24" s="26">
        <v>81.218015682719695</v>
      </c>
      <c r="CU24" s="26">
        <v>91.191135553339905</v>
      </c>
      <c r="CV24" s="26">
        <v>81.311080473717894</v>
      </c>
      <c r="CW24" s="15">
        <v>104.52241585092401</v>
      </c>
      <c r="CX24" s="21"/>
      <c r="CY24" s="1"/>
      <c r="CZ24" s="1"/>
      <c r="DA24" s="1"/>
      <c r="DB24" s="1"/>
      <c r="DC24" s="4"/>
    </row>
    <row r="25" spans="1:107" x14ac:dyDescent="0.2">
      <c r="L25" s="112"/>
      <c r="N25" s="154"/>
      <c r="O25" s="14">
        <v>5.35</v>
      </c>
      <c r="P25" s="78"/>
      <c r="Q25" s="16"/>
      <c r="R25" s="58">
        <f t="shared" si="25"/>
        <v>0</v>
      </c>
      <c r="S25" s="26"/>
      <c r="T25" s="26"/>
      <c r="U25" s="26"/>
      <c r="V25" s="26"/>
      <c r="W25" s="26"/>
      <c r="X25" s="91"/>
      <c r="Y25" s="15"/>
      <c r="Z25" s="21"/>
      <c r="AA25" s="1"/>
      <c r="AB25" s="1"/>
      <c r="AC25" s="1"/>
      <c r="AD25" s="1"/>
      <c r="AE25" s="4"/>
      <c r="AG25" s="154"/>
      <c r="AH25" s="14">
        <v>5.35</v>
      </c>
      <c r="AI25" s="78"/>
      <c r="AJ25" s="16"/>
      <c r="AK25" s="58">
        <f t="shared" si="27"/>
        <v>0</v>
      </c>
      <c r="AL25" s="30"/>
      <c r="AM25" s="26"/>
      <c r="AN25" s="26"/>
      <c r="AO25" s="26"/>
      <c r="AP25" s="26"/>
      <c r="AQ25" s="26"/>
      <c r="AR25" s="15"/>
      <c r="AS25" s="21"/>
      <c r="AT25" s="1"/>
      <c r="AU25" s="1"/>
      <c r="AV25" s="1"/>
      <c r="AW25" s="1"/>
      <c r="AX25" s="4"/>
      <c r="AZ25" s="154"/>
      <c r="BA25" s="14">
        <v>5.35</v>
      </c>
      <c r="BB25" s="78"/>
      <c r="BC25" s="16"/>
      <c r="BD25" s="58">
        <f t="shared" si="29"/>
        <v>0</v>
      </c>
      <c r="BE25" s="30"/>
      <c r="BF25" s="26"/>
      <c r="BG25" s="26"/>
      <c r="BH25" s="26"/>
      <c r="BI25" s="26"/>
      <c r="BJ25" s="26"/>
      <c r="BK25" s="15"/>
      <c r="BL25" s="21"/>
      <c r="BM25" s="1"/>
      <c r="BN25" s="1"/>
      <c r="BO25" s="1"/>
      <c r="BP25" s="1"/>
      <c r="BQ25" s="4"/>
      <c r="BS25" s="154"/>
      <c r="BT25" s="14">
        <v>5.35</v>
      </c>
      <c r="BU25" s="78"/>
      <c r="BV25" s="16"/>
      <c r="BW25" s="58">
        <f t="shared" si="31"/>
        <v>0</v>
      </c>
      <c r="BX25" s="30"/>
      <c r="BY25" s="26"/>
      <c r="BZ25" s="26"/>
      <c r="CA25" s="26"/>
      <c r="CB25" s="54"/>
      <c r="CC25" s="26"/>
      <c r="CD25" s="15"/>
      <c r="CE25" s="21"/>
      <c r="CF25" s="1"/>
      <c r="CG25" s="1"/>
      <c r="CH25" s="1"/>
      <c r="CI25" s="1"/>
      <c r="CJ25" s="4"/>
      <c r="CL25" s="154"/>
      <c r="CM25" s="14">
        <v>5.35</v>
      </c>
      <c r="CN25" s="78"/>
      <c r="CO25" s="16"/>
      <c r="CP25" s="58">
        <f t="shared" si="33"/>
        <v>0</v>
      </c>
      <c r="CQ25" s="30"/>
      <c r="CR25" s="26"/>
      <c r="CS25" s="26"/>
      <c r="CT25" s="26"/>
      <c r="CU25" s="26"/>
      <c r="CV25" s="26"/>
      <c r="CW25" s="15"/>
      <c r="CX25" s="21"/>
      <c r="CY25" s="1"/>
      <c r="CZ25" s="1"/>
      <c r="DA25" s="1"/>
      <c r="DB25" s="1"/>
      <c r="DC25" s="4"/>
    </row>
    <row r="26" spans="1:107" x14ac:dyDescent="0.2">
      <c r="E26" s="112"/>
      <c r="H26" s="112"/>
      <c r="N26" s="154"/>
      <c r="O26" s="14">
        <v>10</v>
      </c>
      <c r="P26" s="78">
        <f t="shared" si="23"/>
        <v>-1263.2730582100987</v>
      </c>
      <c r="Q26" s="16">
        <f t="shared" si="24"/>
        <v>932.08919387700746</v>
      </c>
      <c r="R26" s="58">
        <f t="shared" si="25"/>
        <v>7</v>
      </c>
      <c r="S26" s="26">
        <f>-388.711212158203</f>
        <v>-388.71121215820301</v>
      </c>
      <c r="T26" s="26">
        <f>-716.657165527343</f>
        <v>-716.65716552734295</v>
      </c>
      <c r="U26" s="26">
        <f>-1381.41369628906</f>
        <v>-1381.41369628906</v>
      </c>
      <c r="V26" s="26">
        <f>-3100.45825195312</f>
        <v>-3100.45825195312</v>
      </c>
      <c r="W26" s="26">
        <f>-1747.67590332031</f>
        <v>-1747.67590332031</v>
      </c>
      <c r="X26" s="91">
        <f>-696.907897949218</f>
        <v>-696.90789794921795</v>
      </c>
      <c r="Y26" s="15">
        <f>-811.087280273437</f>
        <v>-811.08728027343705</v>
      </c>
      <c r="Z26" s="21"/>
      <c r="AA26" s="1"/>
      <c r="AB26" s="1"/>
      <c r="AC26" s="1"/>
      <c r="AD26" s="1"/>
      <c r="AE26" s="4"/>
      <c r="AG26" s="154"/>
      <c r="AH26" s="14">
        <v>10</v>
      </c>
      <c r="AI26" s="78">
        <f t="shared" ref="AI26" si="34">AVERAGE(AL26:AR26)</f>
        <v>-137.55895144326325</v>
      </c>
      <c r="AJ26" s="16">
        <f>STDEV(AL26:AR26)</f>
        <v>49.353378322841763</v>
      </c>
      <c r="AK26" s="58">
        <f t="shared" si="27"/>
        <v>7</v>
      </c>
      <c r="AL26" s="30">
        <f>-192.446548461914</f>
        <v>-192.44654846191401</v>
      </c>
      <c r="AM26" s="26">
        <f>-118.964286804199</f>
        <v>-118.96428680419901</v>
      </c>
      <c r="AN26" s="26">
        <f>-171.666351318359</f>
        <v>-171.66635131835901</v>
      </c>
      <c r="AO26" s="26">
        <f>-166.412902832031</f>
        <v>-166.41290283203099</v>
      </c>
      <c r="AP26" s="26">
        <f>-166.792114257812</f>
        <v>-166.79211425781199</v>
      </c>
      <c r="AQ26" s="26">
        <f>-82.0092163085937</f>
        <v>-82.009216308593693</v>
      </c>
      <c r="AR26" s="15">
        <f>-64.621240119934</f>
        <v>-64.621240119934001</v>
      </c>
      <c r="AS26" s="21"/>
      <c r="AT26" s="1"/>
      <c r="AU26" s="1"/>
      <c r="AV26" s="1"/>
      <c r="AW26" s="1"/>
      <c r="AX26" s="4"/>
      <c r="AZ26" s="154"/>
      <c r="BA26" s="14">
        <v>10</v>
      </c>
      <c r="BB26" s="78">
        <f t="shared" ref="BB26" si="35">AVERAGE(BE26:BK26)</f>
        <v>4.60379007884434</v>
      </c>
      <c r="BC26" s="16">
        <f>STDEV(BE26:BK26)</f>
        <v>2.2148383344642686</v>
      </c>
      <c r="BD26" s="58">
        <f t="shared" si="29"/>
        <v>7</v>
      </c>
      <c r="BE26" s="30">
        <v>5.72094678878784</v>
      </c>
      <c r="BF26" s="26">
        <v>3.0169804096221902</v>
      </c>
      <c r="BG26" s="26">
        <v>5.0979146957397399</v>
      </c>
      <c r="BH26" s="26">
        <v>8.7547492980956996</v>
      </c>
      <c r="BI26" s="26">
        <v>4.4637632369995099</v>
      </c>
      <c r="BJ26" s="26">
        <v>2.46244120597839</v>
      </c>
      <c r="BK26" s="15">
        <v>2.7097349166870099</v>
      </c>
      <c r="BL26" s="21"/>
      <c r="BM26" s="1"/>
      <c r="BN26" s="1"/>
      <c r="BO26" s="1"/>
      <c r="BP26" s="1"/>
      <c r="BQ26" s="4"/>
      <c r="BS26" s="154"/>
      <c r="BT26" s="14">
        <v>10</v>
      </c>
      <c r="BU26" s="78">
        <f t="shared" ref="BU26" si="36">AVERAGE(BX26:CD26)</f>
        <v>219.42003477834183</v>
      </c>
      <c r="BV26" s="16">
        <f>STDEV(BX26:CD26)</f>
        <v>120.06240856200064</v>
      </c>
      <c r="BW26" s="58">
        <f t="shared" si="31"/>
        <v>7</v>
      </c>
      <c r="BX26" s="30">
        <v>407.315737041918</v>
      </c>
      <c r="BY26" s="26">
        <v>340.06108132199302</v>
      </c>
      <c r="BZ26" s="26">
        <v>204.04099209373999</v>
      </c>
      <c r="CA26" s="26">
        <v>69.614168105345698</v>
      </c>
      <c r="CB26" s="54">
        <v>127.25847155756099</v>
      </c>
      <c r="CC26" s="54">
        <v>239.369084487116</v>
      </c>
      <c r="CD26" s="55">
        <v>148.280708840719</v>
      </c>
      <c r="CE26" s="21"/>
      <c r="CF26" s="1"/>
      <c r="CG26" s="1"/>
      <c r="CH26" s="1"/>
      <c r="CI26" s="1"/>
      <c r="CJ26" s="4"/>
      <c r="CL26" s="154"/>
      <c r="CM26" s="14">
        <v>10</v>
      </c>
      <c r="CN26" s="78">
        <f t="shared" ref="CN26" si="37">AVERAGE(CQ26:CW26)</f>
        <v>112.61554574646026</v>
      </c>
      <c r="CO26" s="16">
        <f>STDEV(CQ26:CW26)</f>
        <v>68.672163837144922</v>
      </c>
      <c r="CP26" s="58">
        <f t="shared" si="33"/>
        <v>7</v>
      </c>
      <c r="CQ26" s="30">
        <v>48.140421965908999</v>
      </c>
      <c r="CR26" s="26">
        <v>96.562256224044404</v>
      </c>
      <c r="CS26" s="26">
        <v>64.882639375369493</v>
      </c>
      <c r="CT26" s="26">
        <v>70.101872447606894</v>
      </c>
      <c r="CU26" s="26">
        <v>145.38800000000001</v>
      </c>
      <c r="CV26" s="26">
        <v>249.43355328027599</v>
      </c>
      <c r="CW26" s="15">
        <v>113.800076932016</v>
      </c>
      <c r="CX26" s="21"/>
      <c r="CY26" s="1"/>
      <c r="CZ26" s="1"/>
      <c r="DA26" s="1"/>
      <c r="DB26" s="1"/>
      <c r="DC26" s="4"/>
    </row>
    <row r="27" spans="1:107" x14ac:dyDescent="0.2">
      <c r="E27" s="112"/>
      <c r="H27" s="112"/>
      <c r="N27" s="154"/>
      <c r="O27" s="31">
        <v>15</v>
      </c>
      <c r="P27" s="78"/>
      <c r="Q27" s="16"/>
      <c r="R27" s="58">
        <f t="shared" si="25"/>
        <v>0</v>
      </c>
      <c r="S27" s="26"/>
      <c r="T27" s="26"/>
      <c r="U27" s="26"/>
      <c r="V27" s="26"/>
      <c r="W27" s="26"/>
      <c r="X27" s="91"/>
      <c r="Y27" s="15"/>
      <c r="Z27" s="21"/>
      <c r="AA27" s="1"/>
      <c r="AB27" s="1"/>
      <c r="AC27" s="1"/>
      <c r="AD27" s="1"/>
      <c r="AE27" s="4"/>
      <c r="AG27" s="154"/>
      <c r="AH27" s="31">
        <v>15</v>
      </c>
      <c r="AI27" s="78"/>
      <c r="AJ27" s="16"/>
      <c r="AK27" s="58">
        <f t="shared" si="27"/>
        <v>0</v>
      </c>
      <c r="AL27" s="30"/>
      <c r="AM27" s="26"/>
      <c r="AN27" s="26"/>
      <c r="AO27" s="26"/>
      <c r="AP27" s="26"/>
      <c r="AQ27" s="26"/>
      <c r="AR27" s="15"/>
      <c r="AS27" s="21"/>
      <c r="AT27" s="1"/>
      <c r="AU27" s="1"/>
      <c r="AV27" s="1"/>
      <c r="AW27" s="1"/>
      <c r="AX27" s="4"/>
      <c r="AZ27" s="154"/>
      <c r="BA27" s="31">
        <v>15</v>
      </c>
      <c r="BB27" s="78"/>
      <c r="BC27" s="16"/>
      <c r="BD27" s="58">
        <f t="shared" si="29"/>
        <v>0</v>
      </c>
      <c r="BE27" s="30"/>
      <c r="BF27" s="26"/>
      <c r="BG27" s="26"/>
      <c r="BH27" s="26"/>
      <c r="BI27" s="26"/>
      <c r="BJ27" s="26"/>
      <c r="BK27" s="15"/>
      <c r="BL27" s="21"/>
      <c r="BM27" s="1"/>
      <c r="BN27" s="1"/>
      <c r="BO27" s="1"/>
      <c r="BP27" s="1"/>
      <c r="BQ27" s="4"/>
      <c r="BS27" s="154"/>
      <c r="BT27" s="31">
        <v>15</v>
      </c>
      <c r="BU27" s="78"/>
      <c r="BV27" s="16"/>
      <c r="BW27" s="58">
        <f t="shared" si="31"/>
        <v>0</v>
      </c>
      <c r="BX27" s="30"/>
      <c r="BY27" s="26"/>
      <c r="BZ27" s="26"/>
      <c r="CA27" s="26"/>
      <c r="CB27" s="26"/>
      <c r="CC27" s="26"/>
      <c r="CD27" s="15"/>
      <c r="CE27" s="21"/>
      <c r="CF27" s="1"/>
      <c r="CG27" s="1"/>
      <c r="CH27" s="1"/>
      <c r="CI27" s="1"/>
      <c r="CJ27" s="4"/>
      <c r="CL27" s="154"/>
      <c r="CM27" s="31">
        <v>15</v>
      </c>
      <c r="CN27" s="78"/>
      <c r="CO27" s="16"/>
      <c r="CP27" s="58">
        <f t="shared" si="33"/>
        <v>0</v>
      </c>
      <c r="CQ27" s="30"/>
      <c r="CR27" s="26"/>
      <c r="CS27" s="26"/>
      <c r="CT27" s="26"/>
      <c r="CU27" s="26"/>
      <c r="CV27" s="26"/>
      <c r="CW27" s="15"/>
      <c r="CX27" s="21"/>
      <c r="CY27" s="1"/>
      <c r="CZ27" s="1"/>
      <c r="DA27" s="1"/>
      <c r="DB27" s="1"/>
      <c r="DC27" s="4"/>
    </row>
    <row r="28" spans="1:107" x14ac:dyDescent="0.2">
      <c r="E28" s="112"/>
      <c r="H28" s="112"/>
      <c r="N28" s="154"/>
      <c r="O28" s="14">
        <v>20.23</v>
      </c>
      <c r="P28" s="78">
        <f t="shared" si="23"/>
        <v>-1513.517181396483</v>
      </c>
      <c r="Q28" s="16">
        <f t="shared" si="24"/>
        <v>1246.1698945286066</v>
      </c>
      <c r="R28" s="58">
        <f t="shared" si="25"/>
        <v>7</v>
      </c>
      <c r="S28" s="26">
        <f>-402.138946533203</f>
        <v>-402.13894653320301</v>
      </c>
      <c r="T28" s="26">
        <f>-793.561462402343</f>
        <v>-793.56146240234295</v>
      </c>
      <c r="U28" s="26">
        <f>-1543.76721191406</f>
        <v>-1543.76721191406</v>
      </c>
      <c r="V28" s="26">
        <f>-4033.07543945312</f>
        <v>-4033.07543945312</v>
      </c>
      <c r="W28" s="26">
        <f>-2107.783203125</f>
        <v>-2107.783203125</v>
      </c>
      <c r="X28" s="91">
        <f>-868.416687011718</f>
        <v>-868.41668701171795</v>
      </c>
      <c r="Y28" s="15">
        <f>-845.877319335937</f>
        <v>-845.87731933593705</v>
      </c>
      <c r="Z28" s="21"/>
      <c r="AA28" s="1"/>
      <c r="AB28" s="1"/>
      <c r="AC28" s="1"/>
      <c r="AD28" s="1"/>
      <c r="AE28" s="4"/>
      <c r="AG28" s="154"/>
      <c r="AH28" s="14">
        <v>20.23</v>
      </c>
      <c r="AI28" s="78">
        <f t="shared" ref="AI28:AI29" si="38">AVERAGE(AL28:AR28)</f>
        <v>-134.40169004712766</v>
      </c>
      <c r="AJ28" s="16">
        <f>STDEV(AL28:AR28)</f>
        <v>48.001288552172753</v>
      </c>
      <c r="AK28" s="58">
        <f t="shared" si="27"/>
        <v>7</v>
      </c>
      <c r="AL28" s="30">
        <f>-198.727066040039</f>
        <v>-198.72706604003901</v>
      </c>
      <c r="AM28" s="26">
        <f>-110.925956726074</f>
        <v>-110.92595672607401</v>
      </c>
      <c r="AN28" s="26">
        <f>-162.193695068359</f>
        <v>-162.19369506835901</v>
      </c>
      <c r="AO28" s="26">
        <f>-148.865295410156</f>
        <v>-148.86529541015599</v>
      </c>
      <c r="AP28" s="26">
        <f>-167.457397460937</f>
        <v>-167.45739746093699</v>
      </c>
      <c r="AQ28" s="26">
        <f>-88.8695678710937</f>
        <v>-88.869567871093693</v>
      </c>
      <c r="AR28" s="15">
        <f>-63.7728517532348</f>
        <v>-63.772851753234796</v>
      </c>
      <c r="AS28" s="21"/>
      <c r="AT28" s="1"/>
      <c r="AU28" s="1"/>
      <c r="AV28" s="1"/>
      <c r="AW28" s="1"/>
      <c r="AX28" s="4"/>
      <c r="AZ28" s="154"/>
      <c r="BA28" s="14">
        <v>20.23</v>
      </c>
      <c r="BB28" s="78">
        <f t="shared" ref="BB28:BB29" si="39">AVERAGE(BE28:BK28)</f>
        <v>1.8614600896835285</v>
      </c>
      <c r="BC28" s="16">
        <f>STDEV(BE28:BK28)</f>
        <v>0.80610731917720113</v>
      </c>
      <c r="BD28" s="58">
        <f t="shared" si="29"/>
        <v>7</v>
      </c>
      <c r="BE28" s="30">
        <v>3.0131368637084899</v>
      </c>
      <c r="BF28" s="26">
        <v>1.39672780036926</v>
      </c>
      <c r="BG28" s="26">
        <v>1.7663422822952199</v>
      </c>
      <c r="BH28" s="26">
        <v>2.9359180927276598</v>
      </c>
      <c r="BI28" s="26">
        <v>1.7263491153717001</v>
      </c>
      <c r="BJ28" s="26">
        <v>1.13129734992981</v>
      </c>
      <c r="BK28" s="15">
        <v>1.0604491233825599</v>
      </c>
      <c r="BL28" s="21"/>
      <c r="BM28" s="1"/>
      <c r="BN28" s="1"/>
      <c r="BO28" s="1"/>
      <c r="BP28" s="1"/>
      <c r="BQ28" s="4"/>
      <c r="BS28" s="154"/>
      <c r="BT28" s="14">
        <v>20.23</v>
      </c>
      <c r="BU28" s="78">
        <f t="shared" ref="BU28:BU29" si="40">AVERAGE(BX28:CD28)</f>
        <v>193.21750569352815</v>
      </c>
      <c r="BV28" s="16">
        <f>STDEV(BX28:CD28)</f>
        <v>108.89055188385525</v>
      </c>
      <c r="BW28" s="58">
        <f t="shared" si="31"/>
        <v>7</v>
      </c>
      <c r="BX28" s="30">
        <v>372.93299999999999</v>
      </c>
      <c r="BY28" s="26">
        <v>300.35609909696001</v>
      </c>
      <c r="BZ28" s="26">
        <v>174.875735794409</v>
      </c>
      <c r="CA28" s="26">
        <v>56.990833261526099</v>
      </c>
      <c r="CB28" s="54">
        <v>119.617381950078</v>
      </c>
      <c r="CC28" s="54">
        <v>189.69601907324699</v>
      </c>
      <c r="CD28" s="55">
        <v>138.053470678477</v>
      </c>
      <c r="CE28" s="21"/>
      <c r="CF28" s="1"/>
      <c r="CG28" s="1"/>
      <c r="CH28" s="1"/>
      <c r="CI28" s="1"/>
      <c r="CJ28" s="4"/>
      <c r="CL28" s="154"/>
      <c r="CM28" s="14">
        <v>20.23</v>
      </c>
      <c r="CN28" s="78">
        <f t="shared" ref="CN28:CN29" si="41">AVERAGE(CQ28:CW28)</f>
        <v>78.174725518034492</v>
      </c>
      <c r="CO28" s="16">
        <f>STDEV(CQ28:CW28)</f>
        <v>31.78592249370562</v>
      </c>
      <c r="CP28" s="58">
        <f t="shared" si="33"/>
        <v>7</v>
      </c>
      <c r="CQ28" s="30">
        <v>47.493140050623701</v>
      </c>
      <c r="CR28" s="26">
        <v>100.162415328222</v>
      </c>
      <c r="CS28" s="26">
        <v>61.129180542298897</v>
      </c>
      <c r="CT28" s="26">
        <v>61.386438680151798</v>
      </c>
      <c r="CU28" s="26">
        <v>44.498800000000003</v>
      </c>
      <c r="CV28" s="26">
        <v>119.97029809744799</v>
      </c>
      <c r="CW28" s="15">
        <v>112.58280592749701</v>
      </c>
      <c r="CX28" s="21"/>
      <c r="CY28" s="1"/>
      <c r="CZ28" s="1"/>
      <c r="DA28" s="1"/>
      <c r="DB28" s="1"/>
      <c r="DC28" s="4"/>
    </row>
    <row r="29" spans="1:107" x14ac:dyDescent="0.2">
      <c r="H29" s="112"/>
      <c r="N29" s="154"/>
      <c r="O29" s="8">
        <v>30.47</v>
      </c>
      <c r="P29" s="79">
        <f t="shared" si="23"/>
        <v>-1528.9503566196975</v>
      </c>
      <c r="Q29" s="9">
        <f t="shared" si="24"/>
        <v>1271.6668681456235</v>
      </c>
      <c r="R29" s="59">
        <f t="shared" si="25"/>
        <v>7</v>
      </c>
      <c r="S29" s="12">
        <f>-405.190704345703</f>
        <v>-405.19070434570301</v>
      </c>
      <c r="T29" s="12">
        <f>-796.613220214843</f>
        <v>-796.61322021484295</v>
      </c>
      <c r="U29" s="12">
        <f>-1590.76428222656</f>
        <v>-1590.76428222656</v>
      </c>
      <c r="V29" s="12">
        <f>-4075.80004882812</f>
        <v>-4075.80004882812</v>
      </c>
      <c r="W29" s="12">
        <f>-2181.6357421875</f>
        <v>-2181.6357421875</v>
      </c>
      <c r="X29" s="88">
        <f>-822.029968261718</f>
        <v>-822.02996826171795</v>
      </c>
      <c r="Y29" s="13">
        <f>-830.618530273437</f>
        <v>-830.61853027343705</v>
      </c>
      <c r="Z29" s="21"/>
      <c r="AA29" s="1"/>
      <c r="AB29" s="1"/>
      <c r="AC29" s="1"/>
      <c r="AD29" s="1"/>
      <c r="AE29" s="4"/>
      <c r="AG29" s="154"/>
      <c r="AH29" s="8">
        <v>30.47</v>
      </c>
      <c r="AI29" s="79">
        <f t="shared" si="38"/>
        <v>-132.36224409920808</v>
      </c>
      <c r="AJ29" s="9">
        <f t="shared" ref="AJ29" si="42">STDEV(AL29:AR29)</f>
        <v>49.855751510321419</v>
      </c>
      <c r="AK29" s="59">
        <f t="shared" si="27"/>
        <v>7</v>
      </c>
      <c r="AL29" s="11">
        <f>-203.365737915039</f>
        <v>-203.36573791503901</v>
      </c>
      <c r="AM29" s="12">
        <f>-106.616874694824</f>
        <v>-106.61687469482401</v>
      </c>
      <c r="AN29" s="12">
        <f>-159.685150146484</f>
        <v>-159.68515014648401</v>
      </c>
      <c r="AO29" s="12">
        <f>-145.026184082031</f>
        <v>-145.02618408203099</v>
      </c>
      <c r="AP29" s="12">
        <f>-164.973266601562</f>
        <v>-164.97326660156199</v>
      </c>
      <c r="AQ29" s="12">
        <f>-85.5553588867187</f>
        <v>-85.555358886718693</v>
      </c>
      <c r="AR29" s="13">
        <f>-61.3131363677978</f>
        <v>-61.313136367797803</v>
      </c>
      <c r="AS29" s="21"/>
      <c r="AT29" s="1"/>
      <c r="AU29" s="1"/>
      <c r="AV29" s="1"/>
      <c r="AW29" s="1"/>
      <c r="AX29" s="4"/>
      <c r="AZ29" s="154"/>
      <c r="BA29" s="8">
        <v>30.47</v>
      </c>
      <c r="BB29" s="79">
        <f t="shared" si="39"/>
        <v>1.133647850581575</v>
      </c>
      <c r="BC29" s="9">
        <f t="shared" ref="BC29" si="43">STDEV(BE29:BK29)</f>
        <v>0.36307703972374433</v>
      </c>
      <c r="BD29" s="59">
        <f t="shared" si="29"/>
        <v>7</v>
      </c>
      <c r="BE29" s="11">
        <v>1.5050007104873599</v>
      </c>
      <c r="BF29" s="12">
        <v>0.90446776151657104</v>
      </c>
      <c r="BG29" s="12">
        <v>1.16883373260498</v>
      </c>
      <c r="BH29" s="12">
        <v>1.6582572460174501</v>
      </c>
      <c r="BI29" s="12">
        <v>1.22594225406646</v>
      </c>
      <c r="BJ29" s="12">
        <v>0.74443554878234897</v>
      </c>
      <c r="BK29" s="13">
        <v>0.72859770059585605</v>
      </c>
      <c r="BL29" s="21"/>
      <c r="BM29" s="1"/>
      <c r="BN29" s="1"/>
      <c r="BO29" s="1"/>
      <c r="BP29" s="1"/>
      <c r="BQ29" s="4"/>
      <c r="BS29" s="154"/>
      <c r="BT29" s="8">
        <v>30.47</v>
      </c>
      <c r="BU29" s="79">
        <f t="shared" si="40"/>
        <v>197.5233069559674</v>
      </c>
      <c r="BV29" s="9">
        <f t="shared" ref="BV29" si="44">STDEV(BX29:CD29)</f>
        <v>118.18854599343325</v>
      </c>
      <c r="BW29" s="59">
        <f t="shared" si="31"/>
        <v>7</v>
      </c>
      <c r="BX29" s="11">
        <v>404.38524250979498</v>
      </c>
      <c r="BY29" s="12">
        <v>298.88119447999998</v>
      </c>
      <c r="BZ29" s="12">
        <v>168.79171418696501</v>
      </c>
      <c r="CA29" s="12">
        <v>56.402231915334902</v>
      </c>
      <c r="CB29" s="27">
        <v>114.064062125316</v>
      </c>
      <c r="CC29" s="27">
        <v>197.74935872923501</v>
      </c>
      <c r="CD29" s="28">
        <v>142.38934474512601</v>
      </c>
      <c r="CE29" s="21"/>
      <c r="CF29" s="1"/>
      <c r="CG29" s="1"/>
      <c r="CH29" s="1"/>
      <c r="CI29" s="1"/>
      <c r="CJ29" s="4"/>
      <c r="CL29" s="154"/>
      <c r="CM29" s="8">
        <v>30.47</v>
      </c>
      <c r="CN29" s="79">
        <f t="shared" si="41"/>
        <v>110.70846944786588</v>
      </c>
      <c r="CO29" s="9">
        <f t="shared" ref="CO29" si="45">STDEV(CQ29:CW29)</f>
        <v>90.164417960585382</v>
      </c>
      <c r="CP29" s="59">
        <f t="shared" si="33"/>
        <v>7</v>
      </c>
      <c r="CQ29" s="11">
        <v>48.4368632660521</v>
      </c>
      <c r="CR29" s="12">
        <v>96.554976533755095</v>
      </c>
      <c r="CS29" s="12">
        <v>58.742910952653602</v>
      </c>
      <c r="CT29" s="12">
        <v>58.0279591780263</v>
      </c>
      <c r="CU29" s="12">
        <v>88.684299999999993</v>
      </c>
      <c r="CV29" s="12">
        <v>307.42725191503899</v>
      </c>
      <c r="CW29" s="13">
        <v>117.085024289535</v>
      </c>
      <c r="CX29" s="21"/>
      <c r="CY29" s="1"/>
      <c r="CZ29" s="1"/>
      <c r="DA29" s="1"/>
      <c r="DB29" s="1"/>
      <c r="DC29" s="4"/>
    </row>
    <row r="30" spans="1:107" x14ac:dyDescent="0.2">
      <c r="H30" s="112"/>
      <c r="N30" s="154"/>
      <c r="O30" s="1"/>
      <c r="P30" s="1"/>
      <c r="Q30" s="1"/>
      <c r="R30" s="1"/>
      <c r="S30" s="1"/>
      <c r="T30" s="1"/>
      <c r="U30" s="1"/>
      <c r="V30" s="1"/>
      <c r="W30" s="1"/>
      <c r="X30" s="87"/>
      <c r="Y30" s="1"/>
      <c r="Z30" s="26"/>
      <c r="AA30" s="1"/>
      <c r="AB30" s="1"/>
      <c r="AC30" s="1"/>
      <c r="AD30" s="1"/>
      <c r="AE30" s="4"/>
      <c r="AG30" s="154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26"/>
      <c r="AT30" s="1"/>
      <c r="AU30" s="1"/>
      <c r="AV30" s="1"/>
      <c r="AW30" s="1"/>
      <c r="AX30" s="4"/>
      <c r="AZ30" s="154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26"/>
      <c r="BM30" s="1"/>
      <c r="BN30" s="1"/>
      <c r="BO30" s="1"/>
      <c r="BP30" s="1"/>
      <c r="BQ30" s="4"/>
      <c r="BS30" s="154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26"/>
      <c r="CF30" s="1"/>
      <c r="CG30" s="1"/>
      <c r="CH30" s="1"/>
      <c r="CI30" s="1"/>
      <c r="CJ30" s="4"/>
      <c r="CL30" s="154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26"/>
      <c r="CY30" s="1"/>
      <c r="CZ30" s="1"/>
      <c r="DA30" s="1"/>
      <c r="DB30" s="1"/>
      <c r="DC30" s="4"/>
    </row>
    <row r="31" spans="1:107" x14ac:dyDescent="0.2">
      <c r="N31" s="154"/>
      <c r="O31" s="189" t="s">
        <v>48</v>
      </c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1"/>
      <c r="AA31" s="1"/>
      <c r="AB31" s="1"/>
      <c r="AC31" s="1"/>
      <c r="AD31" s="1"/>
      <c r="AE31" s="4"/>
      <c r="AG31" s="154"/>
      <c r="AH31" s="189" t="s">
        <v>48</v>
      </c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1"/>
      <c r="AT31" s="1"/>
      <c r="AU31" s="1"/>
      <c r="AV31" s="1"/>
      <c r="AW31" s="1"/>
      <c r="AX31" s="4"/>
      <c r="AZ31" s="154"/>
      <c r="BA31" s="202" t="s">
        <v>48</v>
      </c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4"/>
      <c r="BM31" s="1"/>
      <c r="BN31" s="1"/>
      <c r="BO31" s="1"/>
      <c r="BP31" s="1"/>
      <c r="BQ31" s="4"/>
      <c r="BS31" s="154"/>
      <c r="BT31" s="189" t="s">
        <v>48</v>
      </c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1"/>
      <c r="CF31" s="1"/>
      <c r="CG31" s="1"/>
      <c r="CH31" s="1"/>
      <c r="CI31" s="1"/>
      <c r="CJ31" s="4"/>
      <c r="CL31" s="154"/>
      <c r="CM31" s="189" t="s">
        <v>48</v>
      </c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1"/>
      <c r="CY31" s="1"/>
      <c r="CZ31" s="1"/>
      <c r="DA31" s="1"/>
      <c r="DB31" s="1"/>
      <c r="DC31" s="4"/>
    </row>
    <row r="32" spans="1:107" x14ac:dyDescent="0.2">
      <c r="N32" s="154"/>
      <c r="O32" s="158" t="s">
        <v>10</v>
      </c>
      <c r="P32" s="18" t="s">
        <v>3</v>
      </c>
      <c r="Q32" s="18" t="s">
        <v>5</v>
      </c>
      <c r="R32" s="19" t="s">
        <v>4</v>
      </c>
      <c r="S32" s="186" t="s">
        <v>11</v>
      </c>
      <c r="T32" s="187"/>
      <c r="U32" s="187"/>
      <c r="V32" s="187"/>
      <c r="W32" s="187"/>
      <c r="X32" s="187"/>
      <c r="Y32" s="187"/>
      <c r="Z32" s="188"/>
      <c r="AA32" s="1"/>
      <c r="AB32" s="1"/>
      <c r="AC32" s="1"/>
      <c r="AD32" s="1"/>
      <c r="AE32" s="4"/>
      <c r="AG32" s="154"/>
      <c r="AH32" s="158" t="s">
        <v>10</v>
      </c>
      <c r="AI32" s="18" t="s">
        <v>3</v>
      </c>
      <c r="AJ32" s="18" t="s">
        <v>5</v>
      </c>
      <c r="AK32" s="19" t="s">
        <v>4</v>
      </c>
      <c r="AL32" s="186" t="s">
        <v>11</v>
      </c>
      <c r="AM32" s="187"/>
      <c r="AN32" s="187"/>
      <c r="AO32" s="187"/>
      <c r="AP32" s="187"/>
      <c r="AQ32" s="187"/>
      <c r="AR32" s="187"/>
      <c r="AS32" s="188"/>
      <c r="AT32" s="1"/>
      <c r="AU32" s="1"/>
      <c r="AV32" s="1"/>
      <c r="AW32" s="1"/>
      <c r="AX32" s="4"/>
      <c r="AZ32" s="154"/>
      <c r="BA32" s="158" t="s">
        <v>10</v>
      </c>
      <c r="BB32" s="18" t="s">
        <v>3</v>
      </c>
      <c r="BC32" s="18" t="s">
        <v>5</v>
      </c>
      <c r="BD32" s="19" t="s">
        <v>4</v>
      </c>
      <c r="BE32" s="186" t="s">
        <v>11</v>
      </c>
      <c r="BF32" s="187"/>
      <c r="BG32" s="187"/>
      <c r="BH32" s="187"/>
      <c r="BI32" s="187"/>
      <c r="BJ32" s="187"/>
      <c r="BK32" s="187"/>
      <c r="BL32" s="188"/>
      <c r="BM32" s="1"/>
      <c r="BN32" s="1"/>
      <c r="BO32" s="1"/>
      <c r="BP32" s="1"/>
      <c r="BQ32" s="4"/>
      <c r="BS32" s="154"/>
      <c r="BT32" s="158" t="s">
        <v>10</v>
      </c>
      <c r="BU32" s="18" t="s">
        <v>3</v>
      </c>
      <c r="BV32" s="18" t="s">
        <v>5</v>
      </c>
      <c r="BW32" s="19" t="s">
        <v>4</v>
      </c>
      <c r="BX32" s="186" t="s">
        <v>11</v>
      </c>
      <c r="BY32" s="187"/>
      <c r="BZ32" s="187"/>
      <c r="CA32" s="187"/>
      <c r="CB32" s="187"/>
      <c r="CC32" s="187"/>
      <c r="CD32" s="187"/>
      <c r="CE32" s="188"/>
      <c r="CF32" s="1"/>
      <c r="CG32" s="1"/>
      <c r="CH32" s="1"/>
      <c r="CI32" s="1"/>
      <c r="CJ32" s="4"/>
      <c r="CL32" s="154"/>
      <c r="CM32" s="158" t="s">
        <v>10</v>
      </c>
      <c r="CN32" s="18" t="s">
        <v>3</v>
      </c>
      <c r="CO32" s="18" t="s">
        <v>5</v>
      </c>
      <c r="CP32" s="19" t="s">
        <v>4</v>
      </c>
      <c r="CQ32" s="186" t="s">
        <v>11</v>
      </c>
      <c r="CR32" s="187"/>
      <c r="CS32" s="187"/>
      <c r="CT32" s="187"/>
      <c r="CU32" s="187"/>
      <c r="CV32" s="187"/>
      <c r="CW32" s="187"/>
      <c r="CX32" s="188"/>
      <c r="CY32" s="1"/>
      <c r="CZ32" s="1"/>
      <c r="DA32" s="1"/>
      <c r="DB32" s="1"/>
      <c r="DC32" s="4"/>
    </row>
    <row r="33" spans="14:107" x14ac:dyDescent="0.2">
      <c r="N33" s="154"/>
      <c r="O33" s="166"/>
      <c r="P33" s="144" t="s">
        <v>12</v>
      </c>
      <c r="Q33" s="144"/>
      <c r="R33" s="145"/>
      <c r="S33" s="51">
        <v>13</v>
      </c>
      <c r="T33" s="51">
        <v>35</v>
      </c>
      <c r="U33" s="51">
        <v>36</v>
      </c>
      <c r="V33" s="51">
        <v>40</v>
      </c>
      <c r="W33" s="51">
        <v>46</v>
      </c>
      <c r="X33" s="89">
        <v>47</v>
      </c>
      <c r="Y33" s="51">
        <v>156</v>
      </c>
      <c r="Z33" s="51">
        <v>157</v>
      </c>
      <c r="AA33" s="1"/>
      <c r="AB33" s="1"/>
      <c r="AC33" s="1"/>
      <c r="AD33" s="1"/>
      <c r="AE33" s="4"/>
      <c r="AG33" s="154"/>
      <c r="AH33" s="166"/>
      <c r="AI33" s="144" t="s">
        <v>12</v>
      </c>
      <c r="AJ33" s="144"/>
      <c r="AK33" s="145"/>
      <c r="AL33" s="51">
        <v>13</v>
      </c>
      <c r="AM33" s="51">
        <v>35</v>
      </c>
      <c r="AN33" s="51">
        <v>36</v>
      </c>
      <c r="AO33" s="51">
        <v>40</v>
      </c>
      <c r="AP33" s="51">
        <v>46</v>
      </c>
      <c r="AQ33" s="51">
        <v>47</v>
      </c>
      <c r="AR33" s="51">
        <v>156</v>
      </c>
      <c r="AS33" s="51">
        <v>157</v>
      </c>
      <c r="AT33" s="1"/>
      <c r="AU33" s="1"/>
      <c r="AV33" s="1"/>
      <c r="AW33" s="1"/>
      <c r="AX33" s="4"/>
      <c r="AZ33" s="154"/>
      <c r="BA33" s="166"/>
      <c r="BB33" s="144" t="s">
        <v>12</v>
      </c>
      <c r="BC33" s="144"/>
      <c r="BD33" s="145"/>
      <c r="BE33" s="51">
        <v>13</v>
      </c>
      <c r="BF33" s="51">
        <v>35</v>
      </c>
      <c r="BG33" s="51">
        <v>36</v>
      </c>
      <c r="BH33" s="51">
        <v>40</v>
      </c>
      <c r="BI33" s="51">
        <v>46</v>
      </c>
      <c r="BJ33" s="51">
        <v>47</v>
      </c>
      <c r="BK33" s="51">
        <v>156</v>
      </c>
      <c r="BL33" s="51">
        <v>157</v>
      </c>
      <c r="BM33" s="1"/>
      <c r="BN33" s="1"/>
      <c r="BO33" s="1"/>
      <c r="BP33" s="1"/>
      <c r="BQ33" s="4"/>
      <c r="BS33" s="154"/>
      <c r="BT33" s="166"/>
      <c r="BU33" s="144" t="s">
        <v>12</v>
      </c>
      <c r="BV33" s="144"/>
      <c r="BW33" s="145"/>
      <c r="BX33" s="51">
        <v>13</v>
      </c>
      <c r="BY33" s="51">
        <v>35</v>
      </c>
      <c r="BZ33" s="51">
        <v>36</v>
      </c>
      <c r="CA33" s="51">
        <v>40</v>
      </c>
      <c r="CB33" s="51">
        <v>46</v>
      </c>
      <c r="CC33" s="51">
        <v>47</v>
      </c>
      <c r="CD33" s="51">
        <v>156</v>
      </c>
      <c r="CE33" s="51">
        <v>157</v>
      </c>
      <c r="CF33" s="1"/>
      <c r="CG33" s="1"/>
      <c r="CH33" s="1"/>
      <c r="CI33" s="1"/>
      <c r="CJ33" s="4"/>
      <c r="CL33" s="154"/>
      <c r="CM33" s="166"/>
      <c r="CN33" s="144" t="s">
        <v>12</v>
      </c>
      <c r="CO33" s="144"/>
      <c r="CP33" s="145"/>
      <c r="CQ33" s="51">
        <v>13</v>
      </c>
      <c r="CR33" s="51">
        <v>35</v>
      </c>
      <c r="CS33" s="51">
        <v>36</v>
      </c>
      <c r="CT33" s="51">
        <v>40</v>
      </c>
      <c r="CU33" s="51">
        <v>46</v>
      </c>
      <c r="CV33" s="51">
        <v>47</v>
      </c>
      <c r="CW33" s="51">
        <v>156</v>
      </c>
      <c r="CX33" s="51">
        <v>157</v>
      </c>
      <c r="CY33" s="1"/>
      <c r="CZ33" s="1"/>
      <c r="DA33" s="1"/>
      <c r="DB33" s="1"/>
      <c r="DC33" s="4"/>
    </row>
    <row r="34" spans="14:107" x14ac:dyDescent="0.2">
      <c r="N34" s="154"/>
      <c r="O34" s="5">
        <v>1.05</v>
      </c>
      <c r="P34" s="77">
        <f>AVERAGE(S34:Z34)</f>
        <v>-155.07764911693212</v>
      </c>
      <c r="Q34" s="6">
        <f>STDEV(S34:Z34)</f>
        <v>106.41846443435911</v>
      </c>
      <c r="R34" s="57">
        <f>COUNT(S34:Z34)</f>
        <v>8</v>
      </c>
      <c r="S34" s="20">
        <f>-52.6346549987793</f>
        <v>-52.634654998779297</v>
      </c>
      <c r="T34" s="20">
        <f>-277.90933227539</f>
        <v>-277.90933227539</v>
      </c>
      <c r="U34" s="20">
        <f>-91.4480056762695</f>
        <v>-91.448005676269503</v>
      </c>
      <c r="V34" s="20">
        <f>-302.396667480468</f>
        <v>-302.39666748046801</v>
      </c>
      <c r="W34" s="20">
        <f>-193.613952636718</f>
        <v>-193.61395263671801</v>
      </c>
      <c r="X34" s="92">
        <f>-221.960952758789</f>
        <v>-221.96095275878901</v>
      </c>
      <c r="Y34" s="20">
        <f>-46.0071945190429</f>
        <v>-46.007194519042898</v>
      </c>
      <c r="Z34" s="66">
        <v>-54.650432590000001</v>
      </c>
      <c r="AA34" s="1"/>
      <c r="AB34" s="1"/>
      <c r="AC34" s="1"/>
      <c r="AD34" s="1"/>
      <c r="AE34" s="4"/>
      <c r="AG34" s="154"/>
      <c r="AH34" s="5">
        <v>1.05</v>
      </c>
      <c r="AI34" s="77">
        <f>AVERAGE(AL34:AS34)</f>
        <v>-33.497911214932209</v>
      </c>
      <c r="AJ34" s="6">
        <f>STDEV(AL34:AS34)</f>
        <v>7.3370822850502737</v>
      </c>
      <c r="AK34" s="57">
        <f>COUNT(AL34:AS34)</f>
        <v>8</v>
      </c>
      <c r="AL34" s="60">
        <f>-29.6976432800292</f>
        <v>-29.697643280029201</v>
      </c>
      <c r="AM34" s="24">
        <f>-29.6122207641601</f>
        <v>-29.612220764160099</v>
      </c>
      <c r="AN34" s="24">
        <f>-29.3569412231445</f>
        <v>-29.356941223144499</v>
      </c>
      <c r="AO34" s="24">
        <f>-44.3217315673828</f>
        <v>-44.321731567382798</v>
      </c>
      <c r="AP34" s="24">
        <f>-37.3090286254882</f>
        <v>-37.309028625488203</v>
      </c>
      <c r="AQ34" s="24">
        <f>-40.4118843078613</f>
        <v>-40.4118843078613</v>
      </c>
      <c r="AR34" s="24">
        <f>-21.4466495513916</f>
        <v>-21.446649551391602</v>
      </c>
      <c r="AS34" s="61">
        <v>-35.827190399999999</v>
      </c>
      <c r="AT34" s="1"/>
      <c r="AU34" s="1"/>
      <c r="AV34" s="1"/>
      <c r="AW34" s="1"/>
      <c r="AX34" s="4"/>
      <c r="AZ34" s="154"/>
      <c r="BA34" s="5">
        <v>1.05</v>
      </c>
      <c r="BB34" s="77">
        <f>AVERAGE(BE34:BL34)</f>
        <v>45.973146704673709</v>
      </c>
      <c r="BC34" s="6">
        <f>STDEV(BE34:BL34)</f>
        <v>50.506720461769092</v>
      </c>
      <c r="BD34" s="57">
        <f>COUNT(BE34:BL34)</f>
        <v>8</v>
      </c>
      <c r="BE34" s="60">
        <v>93.457176208495994</v>
      </c>
      <c r="BF34" s="24">
        <v>10.546199798583901</v>
      </c>
      <c r="BG34" s="24">
        <v>12.0290184020996</v>
      </c>
      <c r="BH34" s="24">
        <v>16.000532150268501</v>
      </c>
      <c r="BI34" s="24">
        <v>12.903626441955501</v>
      </c>
      <c r="BJ34" s="24">
        <v>12.5502967834472</v>
      </c>
      <c r="BK34" s="24">
        <v>65.894499999999994</v>
      </c>
      <c r="BL34" s="25">
        <v>144.40382385253901</v>
      </c>
      <c r="BM34" s="1"/>
      <c r="BN34" s="1"/>
      <c r="BO34" s="1"/>
      <c r="BP34" s="1"/>
      <c r="BQ34" s="4"/>
      <c r="BS34" s="154"/>
      <c r="BT34" s="5">
        <v>1.05</v>
      </c>
      <c r="BU34" s="77">
        <f>AVERAGE(BX34:CE34)</f>
        <v>281.82500576863436</v>
      </c>
      <c r="BV34" s="6">
        <f>STDEV(BX34:CE34)</f>
        <v>211.00397088518685</v>
      </c>
      <c r="BW34" s="57">
        <f>COUNT(BX34:CE34)</f>
        <v>6</v>
      </c>
      <c r="BX34" s="60">
        <v>629.09100000000001</v>
      </c>
      <c r="BY34" s="24">
        <v>136.845255944434</v>
      </c>
      <c r="BZ34" s="24">
        <v>453.13698218924799</v>
      </c>
      <c r="CA34" s="24">
        <v>102.81152833343999</v>
      </c>
      <c r="CB34" s="24">
        <v>166.15669207144799</v>
      </c>
      <c r="CC34" s="24">
        <v>202.90857607323599</v>
      </c>
      <c r="CD34" s="83" t="s">
        <v>25</v>
      </c>
      <c r="CE34" s="84" t="s">
        <v>25</v>
      </c>
      <c r="CF34" s="1"/>
      <c r="CG34" s="1"/>
      <c r="CH34" s="1"/>
      <c r="CI34" s="1"/>
      <c r="CJ34" s="4"/>
      <c r="CL34" s="154"/>
      <c r="CM34" s="5">
        <v>1.05</v>
      </c>
      <c r="CN34" s="77">
        <f>AVERAGE(CQ34:CX34)</f>
        <v>184.01574111593308</v>
      </c>
      <c r="CO34" s="6">
        <f>STDEV(CQ34:CX34)</f>
        <v>104.61564294806388</v>
      </c>
      <c r="CP34" s="57">
        <f>COUNT(CQ34:CX34)</f>
        <v>8</v>
      </c>
      <c r="CQ34" s="60">
        <v>102.035193937817</v>
      </c>
      <c r="CR34" s="24">
        <v>190.85771677529399</v>
      </c>
      <c r="CS34" s="24">
        <v>111.34999650341</v>
      </c>
      <c r="CT34" s="24">
        <v>387.18700000000001</v>
      </c>
      <c r="CU34" s="24">
        <v>283.548130637405</v>
      </c>
      <c r="CV34" s="24">
        <v>189.274519702871</v>
      </c>
      <c r="CW34" s="24">
        <v>87.736777205846707</v>
      </c>
      <c r="CX34" s="25">
        <v>120.13659416482101</v>
      </c>
      <c r="CY34" s="1"/>
      <c r="CZ34" s="1"/>
      <c r="DA34" s="1"/>
      <c r="DB34" s="1"/>
      <c r="DC34" s="4"/>
    </row>
    <row r="35" spans="14:107" x14ac:dyDescent="0.2">
      <c r="N35" s="154"/>
      <c r="O35" s="14">
        <v>2.79</v>
      </c>
      <c r="P35" s="78">
        <f t="shared" ref="P35:P40" si="46">AVERAGE(S35:Z35)</f>
        <v>-233.50782775924282</v>
      </c>
      <c r="Q35" s="16">
        <f t="shared" ref="Q35:Q40" si="47">STDEV(S35:Z35)</f>
        <v>164.96531980282259</v>
      </c>
      <c r="R35" s="58">
        <f t="shared" ref="R35:R40" si="48">COUNT(S35:Z35)</f>
        <v>8</v>
      </c>
      <c r="S35" s="21">
        <f>-70.9452056884765</f>
        <v>-70.945205688476506</v>
      </c>
      <c r="T35" s="21">
        <f>-367.02066040039</f>
        <v>-367.02066040039</v>
      </c>
      <c r="U35" s="21">
        <f>-110.979255676269</f>
        <v>-110.97925567626901</v>
      </c>
      <c r="V35" s="21">
        <f>-423.246276855468</f>
        <v>-423.24627685546801</v>
      </c>
      <c r="W35" s="21">
        <f>-277.842468261718</f>
        <v>-277.84246826171801</v>
      </c>
      <c r="X35" s="93">
        <f>-452.063507080078</f>
        <v>-452.06350708007801</v>
      </c>
      <c r="Y35" s="21">
        <f>-73.4730148315429</f>
        <v>-73.473014831542898</v>
      </c>
      <c r="Z35" s="68">
        <v>-92.492233279999994</v>
      </c>
      <c r="AA35" s="1"/>
      <c r="AB35" s="1"/>
      <c r="AC35" s="1"/>
      <c r="AD35" s="1"/>
      <c r="AE35" s="4"/>
      <c r="AG35" s="154"/>
      <c r="AH35" s="14">
        <v>2.79</v>
      </c>
      <c r="AI35" s="78">
        <f>AVERAGE(AL35:AS35)</f>
        <v>-42.754655495106157</v>
      </c>
      <c r="AJ35" s="16">
        <f t="shared" ref="AJ35" si="49">STDEV(AL35:AS35)</f>
        <v>11.403792132273258</v>
      </c>
      <c r="AK35" s="58">
        <f t="shared" ref="AK35:AK40" si="50">COUNT(AL35:AS35)</f>
        <v>8</v>
      </c>
      <c r="AL35" s="30">
        <f>-43.9127311706543</f>
        <v>-43.912731170654297</v>
      </c>
      <c r="AM35" s="26">
        <f>-34.8307266235351</f>
        <v>-34.830726623535099</v>
      </c>
      <c r="AN35" s="26">
        <f>-27.9897537231445</f>
        <v>-27.989753723144499</v>
      </c>
      <c r="AO35" s="26">
        <f>-52.1098175048828</f>
        <v>-52.109817504882798</v>
      </c>
      <c r="AP35" s="26">
        <f>-40.2875442504882</f>
        <v>-40.287544250488203</v>
      </c>
      <c r="AQ35" s="26">
        <f>-57.4651063919067</f>
        <v>-57.465106391906701</v>
      </c>
      <c r="AR35" s="26">
        <f>-30.1075379562377</f>
        <v>-30.107537956237699</v>
      </c>
      <c r="AS35" s="62">
        <v>-55.334026340000001</v>
      </c>
      <c r="AT35" s="1"/>
      <c r="AU35" s="1"/>
      <c r="AV35" s="1"/>
      <c r="AW35" s="1"/>
      <c r="AX35" s="4"/>
      <c r="AZ35" s="154"/>
      <c r="BA35" s="14">
        <v>2.79</v>
      </c>
      <c r="BB35" s="78">
        <f>AVERAGE(BE35:BL35)</f>
        <v>44.137191705226869</v>
      </c>
      <c r="BC35" s="16">
        <f t="shared" ref="BC35" si="51">STDEV(BE35:BL35)</f>
        <v>56.889801162162179</v>
      </c>
      <c r="BD35" s="58">
        <f t="shared" ref="BD35:BD40" si="52">COUNT(BE35:BL35)</f>
        <v>8</v>
      </c>
      <c r="BE35" s="30">
        <v>77.664703369140597</v>
      </c>
      <c r="BF35" s="26">
        <v>7.8255033493041903</v>
      </c>
      <c r="BG35" s="26">
        <v>7.6694836616516104</v>
      </c>
      <c r="BH35" s="26">
        <v>16.7396945953369</v>
      </c>
      <c r="BI35" s="26">
        <v>13.819766998291</v>
      </c>
      <c r="BJ35" s="26">
        <v>12.612195968627899</v>
      </c>
      <c r="BK35" s="26">
        <v>171.48599999999999</v>
      </c>
      <c r="BL35" s="15">
        <v>45.280185699462798</v>
      </c>
      <c r="BM35" s="1"/>
      <c r="BN35" s="1"/>
      <c r="BO35" s="1"/>
      <c r="BP35" s="1"/>
      <c r="BQ35" s="4"/>
      <c r="BS35" s="154"/>
      <c r="BT35" s="14">
        <v>2.79</v>
      </c>
      <c r="BU35" s="78">
        <f>AVERAGE(BX35:CE35)</f>
        <v>249.30556055500796</v>
      </c>
      <c r="BV35" s="16">
        <f t="shared" ref="BV35" si="53">STDEV(BX35:CE35)</f>
        <v>241.7001479096794</v>
      </c>
      <c r="BW35" s="58">
        <f t="shared" ref="BW35:BW40" si="54">COUNT(BX35:CE35)</f>
        <v>7</v>
      </c>
      <c r="BX35" s="30">
        <v>259.84289591462903</v>
      </c>
      <c r="BY35" s="26">
        <v>98.5381010895739</v>
      </c>
      <c r="BZ35" s="26">
        <v>337.61971124778199</v>
      </c>
      <c r="CA35" s="26">
        <v>80.971038673980303</v>
      </c>
      <c r="CB35" s="26">
        <v>120.231589794386</v>
      </c>
      <c r="CC35" s="26">
        <v>96.964639899079501</v>
      </c>
      <c r="CD35" s="54">
        <v>750.970947265625</v>
      </c>
      <c r="CE35" s="55" t="s">
        <v>25</v>
      </c>
      <c r="CF35" s="1"/>
      <c r="CG35" s="1"/>
      <c r="CH35" s="1"/>
      <c r="CI35" s="1"/>
      <c r="CJ35" s="4"/>
      <c r="CL35" s="154"/>
      <c r="CM35" s="14">
        <v>2.79</v>
      </c>
      <c r="CN35" s="78">
        <f>AVERAGE(CQ35:CX35)</f>
        <v>162.80406622468124</v>
      </c>
      <c r="CO35" s="16">
        <f t="shared" ref="CO35" si="55">STDEV(CQ35:CX35)</f>
        <v>93.763974964105458</v>
      </c>
      <c r="CP35" s="58">
        <f t="shared" ref="CP35:CP40" si="56">COUNT(CQ35:CX35)</f>
        <v>8</v>
      </c>
      <c r="CQ35" s="30">
        <v>86.489157951867199</v>
      </c>
      <c r="CR35" s="26">
        <v>194.90475190612199</v>
      </c>
      <c r="CS35" s="26">
        <v>109.69735339278</v>
      </c>
      <c r="CT35" s="26">
        <v>99.0460325365096</v>
      </c>
      <c r="CU35" s="26">
        <v>367.61603071733998</v>
      </c>
      <c r="CV35" s="26">
        <v>202.62640050998499</v>
      </c>
      <c r="CW35" s="26">
        <v>140.74246449837199</v>
      </c>
      <c r="CX35" s="15">
        <v>101.310338284474</v>
      </c>
      <c r="CY35" s="1"/>
      <c r="CZ35" s="1"/>
      <c r="DA35" s="1"/>
      <c r="DB35" s="1"/>
      <c r="DC35" s="4"/>
    </row>
    <row r="36" spans="14:107" x14ac:dyDescent="0.2">
      <c r="N36" s="154"/>
      <c r="O36" s="14">
        <v>5.35</v>
      </c>
      <c r="P36" s="78"/>
      <c r="Q36" s="16"/>
      <c r="R36" s="58">
        <f t="shared" si="48"/>
        <v>0</v>
      </c>
      <c r="S36" s="21"/>
      <c r="T36" s="21"/>
      <c r="U36" s="21"/>
      <c r="V36" s="21"/>
      <c r="W36" s="21"/>
      <c r="X36" s="93"/>
      <c r="Y36" s="21"/>
      <c r="Z36" s="17"/>
      <c r="AA36" s="1"/>
      <c r="AB36" s="1"/>
      <c r="AC36" s="1"/>
      <c r="AD36" s="1"/>
      <c r="AE36" s="4"/>
      <c r="AG36" s="154"/>
      <c r="AH36" s="14">
        <v>5.35</v>
      </c>
      <c r="AI36" s="78"/>
      <c r="AJ36" s="16"/>
      <c r="AK36" s="58">
        <f t="shared" si="50"/>
        <v>0</v>
      </c>
      <c r="AL36" s="30"/>
      <c r="AM36" s="26"/>
      <c r="AN36" s="26"/>
      <c r="AO36" s="26"/>
      <c r="AP36" s="26"/>
      <c r="AQ36" s="26"/>
      <c r="AR36" s="26"/>
      <c r="AS36" s="15"/>
      <c r="AT36" s="1"/>
      <c r="AU36" s="1"/>
      <c r="AV36" s="1"/>
      <c r="AW36" s="1"/>
      <c r="AX36" s="4"/>
      <c r="AZ36" s="154"/>
      <c r="BA36" s="14">
        <v>5.35</v>
      </c>
      <c r="BB36" s="78"/>
      <c r="BC36" s="16"/>
      <c r="BD36" s="58">
        <f t="shared" si="52"/>
        <v>0</v>
      </c>
      <c r="BE36" s="30"/>
      <c r="BF36" s="26"/>
      <c r="BG36" s="26"/>
      <c r="BH36" s="26"/>
      <c r="BI36" s="26"/>
      <c r="BJ36" s="26"/>
      <c r="BK36" s="26"/>
      <c r="BL36" s="15"/>
      <c r="BM36" s="1"/>
      <c r="BN36" s="1"/>
      <c r="BO36" s="1"/>
      <c r="BP36" s="1"/>
      <c r="BQ36" s="4"/>
      <c r="BS36" s="154"/>
      <c r="BT36" s="14">
        <v>5.35</v>
      </c>
      <c r="BU36" s="78"/>
      <c r="BV36" s="16"/>
      <c r="BW36" s="58">
        <f t="shared" si="54"/>
        <v>0</v>
      </c>
      <c r="BX36" s="30"/>
      <c r="BY36" s="26"/>
      <c r="BZ36" s="26"/>
      <c r="CA36" s="26"/>
      <c r="CB36" s="26"/>
      <c r="CC36" s="26"/>
      <c r="CD36" s="26"/>
      <c r="CE36" s="15"/>
      <c r="CF36" s="1"/>
      <c r="CG36" s="1"/>
      <c r="CH36" s="1"/>
      <c r="CI36" s="1"/>
      <c r="CJ36" s="4"/>
      <c r="CL36" s="154"/>
      <c r="CM36" s="14">
        <v>5.35</v>
      </c>
      <c r="CN36" s="78"/>
      <c r="CO36" s="16"/>
      <c r="CP36" s="58">
        <f t="shared" si="56"/>
        <v>0</v>
      </c>
      <c r="CQ36" s="30"/>
      <c r="CR36" s="26"/>
      <c r="CS36" s="26"/>
      <c r="CT36" s="26"/>
      <c r="CU36" s="26"/>
      <c r="CV36" s="26"/>
      <c r="CW36" s="26"/>
      <c r="CX36" s="15"/>
      <c r="CY36" s="1"/>
      <c r="CZ36" s="1"/>
      <c r="DA36" s="1"/>
      <c r="DB36" s="1"/>
      <c r="DC36" s="4"/>
    </row>
    <row r="37" spans="14:107" x14ac:dyDescent="0.2">
      <c r="N37" s="154"/>
      <c r="O37" s="14">
        <v>10</v>
      </c>
      <c r="P37" s="78">
        <f t="shared" si="46"/>
        <v>-281.76557922988223</v>
      </c>
      <c r="Q37" s="16">
        <f t="shared" si="47"/>
        <v>105.20517131335504</v>
      </c>
      <c r="R37" s="58">
        <f t="shared" si="48"/>
        <v>5</v>
      </c>
      <c r="S37" s="21">
        <f>-131.261932373046</f>
        <v>-131.26193237304599</v>
      </c>
      <c r="T37" s="21"/>
      <c r="U37" s="21"/>
      <c r="V37" s="21">
        <f>-300.075561523437</f>
        <v>-300.07556152343699</v>
      </c>
      <c r="W37" s="21">
        <f>-409.518737792968</f>
        <v>-409.51873779296801</v>
      </c>
      <c r="X37" s="93"/>
      <c r="Y37" s="21">
        <f>-234.21043395996</f>
        <v>-234.21043395996</v>
      </c>
      <c r="Z37" s="68">
        <v>-333.76123050000001</v>
      </c>
      <c r="AA37" s="1"/>
      <c r="AB37" s="1"/>
      <c r="AC37" s="1"/>
      <c r="AD37" s="1"/>
      <c r="AE37" s="4"/>
      <c r="AG37" s="154"/>
      <c r="AH37" s="14">
        <v>10</v>
      </c>
      <c r="AI37" s="78">
        <f t="shared" ref="AI37" si="57">AVERAGE(AL37:AS37)</f>
        <v>-47.866652850661318</v>
      </c>
      <c r="AJ37" s="16">
        <f t="shared" ref="AJ37" si="58">STDEV(AL37:AS37)</f>
        <v>17.038665245062376</v>
      </c>
      <c r="AK37" s="58">
        <f t="shared" si="50"/>
        <v>5</v>
      </c>
      <c r="AL37" s="30">
        <f>-74.5541610717773</f>
        <v>-74.554161071777301</v>
      </c>
      <c r="AM37" s="26"/>
      <c r="AN37" s="26"/>
      <c r="AO37" s="26">
        <f>-37.5328521728515</f>
        <v>-37.532852172851499</v>
      </c>
      <c r="AP37" s="26">
        <f>-40.7382049560546</f>
        <v>-40.738204956054602</v>
      </c>
      <c r="AQ37" s="26"/>
      <c r="AR37" s="26">
        <f>-32.0986107826232</f>
        <v>-32.098610782623197</v>
      </c>
      <c r="AS37" s="62">
        <v>-54.409435270000003</v>
      </c>
      <c r="AT37" s="1"/>
      <c r="AU37" s="1"/>
      <c r="AV37" s="1"/>
      <c r="AW37" s="1"/>
      <c r="AX37" s="4"/>
      <c r="AZ37" s="154"/>
      <c r="BA37" s="14">
        <v>10</v>
      </c>
      <c r="BB37" s="78">
        <f t="shared" ref="BB37" si="59">AVERAGE(BE37:BL37)</f>
        <v>4.3797300338745071</v>
      </c>
      <c r="BC37" s="16">
        <f t="shared" ref="BC37" si="60">STDEV(BE37:BL37)</f>
        <v>2.8712454118837165</v>
      </c>
      <c r="BD37" s="58">
        <f t="shared" si="52"/>
        <v>5</v>
      </c>
      <c r="BE37" s="30">
        <v>9.2269163131713796</v>
      </c>
      <c r="BF37" s="26"/>
      <c r="BG37" s="26"/>
      <c r="BH37" s="26">
        <v>2.36905765533447</v>
      </c>
      <c r="BI37" s="26">
        <v>2.9682643413543701</v>
      </c>
      <c r="BJ37" s="26"/>
      <c r="BK37" s="26">
        <v>2.56480717658996</v>
      </c>
      <c r="BL37" s="15">
        <v>4.7696046829223597</v>
      </c>
      <c r="BM37" s="1"/>
      <c r="BN37" s="1"/>
      <c r="BO37" s="1"/>
      <c r="BP37" s="1"/>
      <c r="BQ37" s="4"/>
      <c r="BS37" s="154"/>
      <c r="BT37" s="14">
        <v>10</v>
      </c>
      <c r="BU37" s="78">
        <f t="shared" ref="BU37" si="61">AVERAGE(BX37:CE37)</f>
        <v>135.87255325845223</v>
      </c>
      <c r="BV37" s="16">
        <f t="shared" ref="BV37" si="62">STDEV(BX37:CE37)</f>
        <v>65.836823170456896</v>
      </c>
      <c r="BW37" s="58">
        <f t="shared" si="54"/>
        <v>5</v>
      </c>
      <c r="BX37" s="30">
        <v>251.34193440554799</v>
      </c>
      <c r="BY37" s="26"/>
      <c r="BZ37" s="26"/>
      <c r="CA37" s="26">
        <v>107.43350490879401</v>
      </c>
      <c r="CB37" s="26">
        <v>92.147792618125294</v>
      </c>
      <c r="CC37" s="26"/>
      <c r="CD37" s="54">
        <v>101.05825692834701</v>
      </c>
      <c r="CE37" s="55">
        <v>127.381277431447</v>
      </c>
      <c r="CF37" s="1"/>
      <c r="CG37" s="1"/>
      <c r="CH37" s="1"/>
      <c r="CI37" s="1"/>
      <c r="CJ37" s="4"/>
      <c r="CL37" s="154"/>
      <c r="CM37" s="14">
        <v>10</v>
      </c>
      <c r="CN37" s="78">
        <f t="shared" ref="CN37" si="63">AVERAGE(CQ37:CX37)</f>
        <v>224.46390001327626</v>
      </c>
      <c r="CO37" s="16">
        <f t="shared" ref="CO37" si="64">STDEV(CQ37:CX37)</f>
        <v>138.87767808558834</v>
      </c>
      <c r="CP37" s="58">
        <f t="shared" si="56"/>
        <v>5</v>
      </c>
      <c r="CQ37" s="30">
        <v>55.521630442263501</v>
      </c>
      <c r="CR37" s="26"/>
      <c r="CS37" s="26"/>
      <c r="CT37" s="26">
        <v>177.78224848337601</v>
      </c>
      <c r="CU37" s="26">
        <v>243.25994770982001</v>
      </c>
      <c r="CV37" s="26"/>
      <c r="CW37" s="26">
        <v>438.42755233813</v>
      </c>
      <c r="CX37" s="15">
        <v>207.328121092792</v>
      </c>
      <c r="CY37" s="1"/>
      <c r="CZ37" s="1"/>
      <c r="DA37" s="1"/>
      <c r="DB37" s="1"/>
      <c r="DC37" s="4"/>
    </row>
    <row r="38" spans="14:107" x14ac:dyDescent="0.2">
      <c r="N38" s="154"/>
      <c r="O38" s="31">
        <v>15</v>
      </c>
      <c r="P38" s="78"/>
      <c r="Q38" s="16"/>
      <c r="R38" s="58">
        <f t="shared" si="48"/>
        <v>0</v>
      </c>
      <c r="S38" s="21"/>
      <c r="T38" s="21"/>
      <c r="U38" s="21"/>
      <c r="V38" s="21"/>
      <c r="W38" s="21"/>
      <c r="X38" s="93"/>
      <c r="Y38" s="21"/>
      <c r="Z38" s="17"/>
      <c r="AA38" s="1"/>
      <c r="AB38" s="1"/>
      <c r="AC38" s="1"/>
      <c r="AD38" s="1"/>
      <c r="AE38" s="4"/>
      <c r="AG38" s="154"/>
      <c r="AH38" s="31">
        <v>15</v>
      </c>
      <c r="AI38" s="78"/>
      <c r="AJ38" s="16"/>
      <c r="AK38" s="58">
        <f t="shared" si="50"/>
        <v>0</v>
      </c>
      <c r="AL38" s="30"/>
      <c r="AM38" s="26"/>
      <c r="AN38" s="26"/>
      <c r="AO38" s="26"/>
      <c r="AP38" s="26"/>
      <c r="AQ38" s="26"/>
      <c r="AR38" s="26"/>
      <c r="AS38" s="15"/>
      <c r="AT38" s="1"/>
      <c r="AU38" s="1"/>
      <c r="AV38" s="1"/>
      <c r="AW38" s="1"/>
      <c r="AX38" s="4"/>
      <c r="AZ38" s="154"/>
      <c r="BA38" s="31">
        <v>15</v>
      </c>
      <c r="BB38" s="78"/>
      <c r="BC38" s="16"/>
      <c r="BD38" s="58">
        <f t="shared" si="52"/>
        <v>0</v>
      </c>
      <c r="BE38" s="30"/>
      <c r="BF38" s="26"/>
      <c r="BG38" s="26"/>
      <c r="BH38" s="26"/>
      <c r="BI38" s="26"/>
      <c r="BJ38" s="26"/>
      <c r="BK38" s="26"/>
      <c r="BL38" s="15"/>
      <c r="BM38" s="1"/>
      <c r="BN38" s="1"/>
      <c r="BO38" s="1"/>
      <c r="BP38" s="1"/>
      <c r="BQ38" s="4"/>
      <c r="BS38" s="154"/>
      <c r="BT38" s="31">
        <v>15</v>
      </c>
      <c r="BU38" s="78"/>
      <c r="BV38" s="16"/>
      <c r="BW38" s="58">
        <f t="shared" si="54"/>
        <v>0</v>
      </c>
      <c r="BX38" s="30"/>
      <c r="BY38" s="26"/>
      <c r="BZ38" s="26"/>
      <c r="CA38" s="26"/>
      <c r="CB38" s="26"/>
      <c r="CC38" s="26"/>
      <c r="CD38" s="26"/>
      <c r="CE38" s="15"/>
      <c r="CF38" s="1"/>
      <c r="CG38" s="1"/>
      <c r="CH38" s="1"/>
      <c r="CI38" s="1"/>
      <c r="CJ38" s="4"/>
      <c r="CL38" s="154"/>
      <c r="CM38" s="31">
        <v>15</v>
      </c>
      <c r="CN38" s="78"/>
      <c r="CO38" s="16"/>
      <c r="CP38" s="58">
        <f t="shared" si="56"/>
        <v>0</v>
      </c>
      <c r="CQ38" s="30"/>
      <c r="CR38" s="26"/>
      <c r="CS38" s="26"/>
      <c r="CT38" s="26"/>
      <c r="CU38" s="26"/>
      <c r="CV38" s="26"/>
      <c r="CW38" s="26"/>
      <c r="CX38" s="15"/>
      <c r="CY38" s="1"/>
      <c r="CZ38" s="1"/>
      <c r="DA38" s="1"/>
      <c r="DB38" s="1"/>
      <c r="DC38" s="4"/>
    </row>
    <row r="39" spans="14:107" x14ac:dyDescent="0.2">
      <c r="N39" s="154"/>
      <c r="O39" s="14">
        <v>20.23</v>
      </c>
      <c r="P39" s="78">
        <f t="shared" si="46"/>
        <v>-312.52729491312436</v>
      </c>
      <c r="Q39" s="16">
        <f t="shared" si="47"/>
        <v>128.7508618393091</v>
      </c>
      <c r="R39" s="58">
        <f t="shared" si="48"/>
        <v>5</v>
      </c>
      <c r="S39" s="21">
        <f>-139.806854248046</f>
        <v>-139.80685424804599</v>
      </c>
      <c r="T39" s="21"/>
      <c r="U39" s="21"/>
      <c r="V39" s="21">
        <f>-344.020874023437</f>
        <v>-344.02087402343699</v>
      </c>
      <c r="W39" s="21">
        <f>-494.967956542968</f>
        <v>-494.96795654296801</v>
      </c>
      <c r="X39" s="93"/>
      <c r="Y39" s="21">
        <f>-265.948699951171</f>
        <v>-265.94869995117102</v>
      </c>
      <c r="Z39" s="68">
        <v>-317.89208980000001</v>
      </c>
      <c r="AA39" s="1"/>
      <c r="AB39" s="1"/>
      <c r="AC39" s="1"/>
      <c r="AD39" s="1"/>
      <c r="AE39" s="4"/>
      <c r="AG39" s="154"/>
      <c r="AH39" s="14">
        <v>20.23</v>
      </c>
      <c r="AI39" s="78">
        <f t="shared" ref="AI39:AI40" si="65">AVERAGE(AL39:AS39)</f>
        <v>-46.625197853519978</v>
      </c>
      <c r="AJ39" s="16">
        <f t="shared" ref="AJ39:AJ40" si="66">STDEV(AL39:AS39)</f>
        <v>21.074476443100817</v>
      </c>
      <c r="AK39" s="58">
        <f t="shared" si="50"/>
        <v>5</v>
      </c>
      <c r="AL39" s="30">
        <f>-82.6169052124023</f>
        <v>-82.616905212402301</v>
      </c>
      <c r="AM39" s="26"/>
      <c r="AN39" s="26"/>
      <c r="AO39" s="26">
        <f>-37.1483306884765</f>
        <v>-37.148330688476499</v>
      </c>
      <c r="AP39" s="26">
        <f>-34.7079315185546</f>
        <v>-34.707931518554602</v>
      </c>
      <c r="AQ39" s="26"/>
      <c r="AR39" s="26">
        <f>-30.8779080581665</f>
        <v>-30.877908058166501</v>
      </c>
      <c r="AS39" s="62">
        <v>-47.774913789999999</v>
      </c>
      <c r="AT39" s="1"/>
      <c r="AU39" s="1"/>
      <c r="AV39" s="1"/>
      <c r="AW39" s="1"/>
      <c r="AX39" s="4"/>
      <c r="AZ39" s="154"/>
      <c r="BA39" s="14">
        <v>20.23</v>
      </c>
      <c r="BB39" s="78">
        <f t="shared" ref="BB39:BB40" si="67">AVERAGE(BE39:BL39)</f>
        <v>1.5114519596099822</v>
      </c>
      <c r="BC39" s="16">
        <f t="shared" ref="BC39:BC40" si="68">STDEV(BE39:BL39)</f>
        <v>0.80683354447710343</v>
      </c>
      <c r="BD39" s="58">
        <f t="shared" si="52"/>
        <v>5</v>
      </c>
      <c r="BE39" s="30">
        <v>2.9479444026946999</v>
      </c>
      <c r="BF39" s="26"/>
      <c r="BG39" s="26"/>
      <c r="BH39" s="26">
        <v>1.09944319725036</v>
      </c>
      <c r="BI39" s="26">
        <v>1.2552908658981301</v>
      </c>
      <c r="BJ39" s="26"/>
      <c r="BK39" s="26">
        <v>1.05700051784515</v>
      </c>
      <c r="BL39" s="15">
        <v>1.19758081436157</v>
      </c>
      <c r="BM39" s="1"/>
      <c r="BN39" s="1"/>
      <c r="BO39" s="1"/>
      <c r="BP39" s="1"/>
      <c r="BQ39" s="4"/>
      <c r="BS39" s="154"/>
      <c r="BT39" s="14">
        <v>20.23</v>
      </c>
      <c r="BU39" s="78">
        <f t="shared" ref="BU39:BU40" si="69">AVERAGE(BX39:CE39)</f>
        <v>143.56316773608904</v>
      </c>
      <c r="BV39" s="16">
        <f t="shared" ref="BV39:BV40" si="70">STDEV(BX39:CE39)</f>
        <v>101.36046673156454</v>
      </c>
      <c r="BW39" s="58">
        <f t="shared" si="54"/>
        <v>5</v>
      </c>
      <c r="BX39" s="30">
        <v>321.899765994674</v>
      </c>
      <c r="BY39" s="26"/>
      <c r="BZ39" s="26"/>
      <c r="CA39" s="26">
        <v>92.785750107579503</v>
      </c>
      <c r="CB39" s="26">
        <v>80.6594750434258</v>
      </c>
      <c r="CC39" s="26"/>
      <c r="CD39" s="54">
        <v>92.981001972746895</v>
      </c>
      <c r="CE39" s="55">
        <v>129.48984556201901</v>
      </c>
      <c r="CF39" s="1"/>
      <c r="CG39" s="1"/>
      <c r="CH39" s="1"/>
      <c r="CI39" s="1"/>
      <c r="CJ39" s="4"/>
      <c r="CL39" s="154"/>
      <c r="CM39" s="14">
        <v>20.23</v>
      </c>
      <c r="CN39" s="78">
        <f t="shared" ref="CN39:CN40" si="71">AVERAGE(CQ39:CX39)</f>
        <v>238.75029893964975</v>
      </c>
      <c r="CO39" s="16">
        <f t="shared" ref="CO39:CO40" si="72">STDEV(CQ39:CX39)</f>
        <v>128.66486424446867</v>
      </c>
      <c r="CP39" s="58">
        <f t="shared" si="56"/>
        <v>5</v>
      </c>
      <c r="CQ39" s="30">
        <v>50.707580220915801</v>
      </c>
      <c r="CR39" s="26"/>
      <c r="CS39" s="26"/>
      <c r="CT39" s="26">
        <v>253.97989685536999</v>
      </c>
      <c r="CU39" s="26">
        <v>224.825980968214</v>
      </c>
      <c r="CV39" s="26"/>
      <c r="CW39" s="26">
        <v>412.73310610746199</v>
      </c>
      <c r="CX39" s="15">
        <v>251.504930546287</v>
      </c>
      <c r="CY39" s="1"/>
      <c r="CZ39" s="1"/>
      <c r="DA39" s="1"/>
      <c r="DB39" s="1"/>
      <c r="DC39" s="4"/>
    </row>
    <row r="40" spans="14:107" x14ac:dyDescent="0.2">
      <c r="N40" s="154"/>
      <c r="O40" s="8">
        <v>30.47</v>
      </c>
      <c r="P40" s="79">
        <f t="shared" si="46"/>
        <v>-333.76752930062435</v>
      </c>
      <c r="Q40" s="9">
        <f t="shared" si="47"/>
        <v>138.07889398325278</v>
      </c>
      <c r="R40" s="59">
        <f t="shared" si="48"/>
        <v>5</v>
      </c>
      <c r="S40" s="22">
        <f>-145.910369873046</f>
        <v>-145.91036987304599</v>
      </c>
      <c r="T40" s="22"/>
      <c r="U40" s="22"/>
      <c r="V40" s="22">
        <f>-407.497436523437</f>
        <v>-407.49743652343699</v>
      </c>
      <c r="W40" s="22">
        <f>-513.888854980468</f>
        <v>-513.88885498046795</v>
      </c>
      <c r="X40" s="94"/>
      <c r="Y40" s="22">
        <f>-279.376434326171</f>
        <v>-279.37643432617102</v>
      </c>
      <c r="Z40" s="70">
        <v>-322.16455079999997</v>
      </c>
      <c r="AA40" s="1"/>
      <c r="AB40" s="1"/>
      <c r="AC40" s="1"/>
      <c r="AD40" s="1"/>
      <c r="AE40" s="4"/>
      <c r="AG40" s="154"/>
      <c r="AH40" s="8">
        <v>30.47</v>
      </c>
      <c r="AI40" s="79">
        <f t="shared" si="65"/>
        <v>-48.278029811290722</v>
      </c>
      <c r="AJ40" s="9">
        <f t="shared" si="66"/>
        <v>23.621935932431658</v>
      </c>
      <c r="AK40" s="59">
        <f t="shared" si="50"/>
        <v>5</v>
      </c>
      <c r="AL40" s="11">
        <f>-89.4101181030273</f>
        <v>-89.410118103027301</v>
      </c>
      <c r="AM40" s="12"/>
      <c r="AN40" s="12"/>
      <c r="AO40" s="12">
        <f>-36.9347075462341</f>
        <v>-36.934707546234101</v>
      </c>
      <c r="AP40" s="12">
        <f>-36.9540252685546</f>
        <v>-36.954025268554602</v>
      </c>
      <c r="AQ40" s="12"/>
      <c r="AR40" s="12">
        <f>-31.5370874786376</f>
        <v>-31.537087478637599</v>
      </c>
      <c r="AS40" s="63">
        <v>-46.554210660000003</v>
      </c>
      <c r="AT40" s="1"/>
      <c r="AU40" s="1"/>
      <c r="AV40" s="1"/>
      <c r="AW40" s="1"/>
      <c r="AX40" s="4"/>
      <c r="AZ40" s="154"/>
      <c r="BA40" s="8">
        <v>30.47</v>
      </c>
      <c r="BB40" s="79">
        <f t="shared" si="67"/>
        <v>1.1486811518669104</v>
      </c>
      <c r="BC40" s="9">
        <f t="shared" si="68"/>
        <v>0.51702396329940947</v>
      </c>
      <c r="BD40" s="59">
        <f t="shared" si="52"/>
        <v>5</v>
      </c>
      <c r="BE40" s="11">
        <v>1.9544563293457</v>
      </c>
      <c r="BF40" s="12"/>
      <c r="BG40" s="12"/>
      <c r="BH40" s="12">
        <v>0.94118958711624101</v>
      </c>
      <c r="BI40" s="12">
        <v>1.3636717796325599</v>
      </c>
      <c r="BJ40" s="12"/>
      <c r="BK40" s="12">
        <v>0.74240684509277299</v>
      </c>
      <c r="BL40" s="13">
        <v>0.74168121814727805</v>
      </c>
      <c r="BM40" s="1"/>
      <c r="BN40" s="1"/>
      <c r="BO40" s="1"/>
      <c r="BP40" s="1"/>
      <c r="BQ40" s="4"/>
      <c r="BS40" s="154"/>
      <c r="BT40" s="8">
        <v>30.47</v>
      </c>
      <c r="BU40" s="79">
        <f t="shared" si="69"/>
        <v>75.833885329853118</v>
      </c>
      <c r="BV40" s="9">
        <f t="shared" si="70"/>
        <v>45.055241142157108</v>
      </c>
      <c r="BW40" s="59">
        <f t="shared" si="54"/>
        <v>5</v>
      </c>
      <c r="BX40" s="11">
        <v>1.88414782442475</v>
      </c>
      <c r="BY40" s="12"/>
      <c r="BZ40" s="12"/>
      <c r="CA40" s="12">
        <v>84.040523863383299</v>
      </c>
      <c r="CB40" s="12">
        <v>77.486321139360498</v>
      </c>
      <c r="CC40" s="12"/>
      <c r="CD40" s="27">
        <v>91.639615192289</v>
      </c>
      <c r="CE40" s="28">
        <v>124.118818629808</v>
      </c>
      <c r="CF40" s="1"/>
      <c r="CG40" s="1"/>
      <c r="CH40" s="1"/>
      <c r="CI40" s="1"/>
      <c r="CJ40" s="4"/>
      <c r="CL40" s="154"/>
      <c r="CM40" s="8">
        <v>30.47</v>
      </c>
      <c r="CN40" s="79">
        <f t="shared" si="71"/>
        <v>188.76944244910516</v>
      </c>
      <c r="CO40" s="9">
        <f t="shared" si="72"/>
        <v>85.506437950259993</v>
      </c>
      <c r="CP40" s="59">
        <f t="shared" si="56"/>
        <v>5</v>
      </c>
      <c r="CQ40" s="11">
        <v>53.666314049239801</v>
      </c>
      <c r="CR40" s="12"/>
      <c r="CS40" s="12"/>
      <c r="CT40" s="12">
        <v>162.726024177</v>
      </c>
      <c r="CU40" s="12">
        <v>271.45849319053599</v>
      </c>
      <c r="CV40" s="12"/>
      <c r="CW40" s="12">
        <v>242.12299729227701</v>
      </c>
      <c r="CX40" s="13">
        <v>213.873383536473</v>
      </c>
      <c r="CY40" s="1"/>
      <c r="CZ40" s="1"/>
      <c r="DA40" s="1"/>
      <c r="DB40" s="1"/>
      <c r="DC40" s="4"/>
    </row>
    <row r="41" spans="14:107" x14ac:dyDescent="0.2">
      <c r="N41" s="154"/>
      <c r="O41" s="1"/>
      <c r="P41" s="1"/>
      <c r="Q41" s="1"/>
      <c r="R41" s="1"/>
      <c r="S41" s="1"/>
      <c r="T41" s="1"/>
      <c r="U41" s="1"/>
      <c r="V41" s="1"/>
      <c r="W41" s="1"/>
      <c r="X41" s="87"/>
      <c r="Y41" s="1"/>
      <c r="Z41" s="1"/>
      <c r="AA41" s="1"/>
      <c r="AB41" s="1"/>
      <c r="AC41" s="1"/>
      <c r="AD41" s="1"/>
      <c r="AE41" s="4"/>
      <c r="AG41" s="154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4"/>
      <c r="AZ41" s="154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4"/>
      <c r="BS41" s="154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4"/>
      <c r="CL41" s="154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4"/>
    </row>
    <row r="42" spans="14:107" x14ac:dyDescent="0.2">
      <c r="N42" s="154"/>
      <c r="O42" s="192" t="s">
        <v>1</v>
      </c>
      <c r="P42" s="193"/>
      <c r="Q42" s="193"/>
      <c r="R42" s="193"/>
      <c r="S42" s="193"/>
      <c r="T42" s="193"/>
      <c r="U42" s="194"/>
      <c r="V42" s="1"/>
      <c r="W42" s="1"/>
      <c r="X42" s="87"/>
      <c r="Y42" s="1"/>
      <c r="Z42" s="1"/>
      <c r="AA42" s="1"/>
      <c r="AB42" s="1"/>
      <c r="AC42" s="1"/>
      <c r="AD42" s="1"/>
      <c r="AE42" s="4"/>
      <c r="AG42" s="154"/>
      <c r="AH42" s="192" t="s">
        <v>1</v>
      </c>
      <c r="AI42" s="193"/>
      <c r="AJ42" s="193"/>
      <c r="AK42" s="193"/>
      <c r="AL42" s="193"/>
      <c r="AM42" s="193"/>
      <c r="AN42" s="194"/>
      <c r="AO42" s="1"/>
      <c r="AP42" s="1"/>
      <c r="AQ42" s="1"/>
      <c r="AR42" s="1"/>
      <c r="AS42" s="1"/>
      <c r="AT42" s="1"/>
      <c r="AU42" s="1"/>
      <c r="AV42" s="1"/>
      <c r="AW42" s="1"/>
      <c r="AX42" s="4"/>
      <c r="AZ42" s="154"/>
      <c r="BA42" s="192" t="s">
        <v>1</v>
      </c>
      <c r="BB42" s="193"/>
      <c r="BC42" s="193"/>
      <c r="BD42" s="193"/>
      <c r="BE42" s="193"/>
      <c r="BF42" s="193"/>
      <c r="BG42" s="194"/>
      <c r="BH42" s="1"/>
      <c r="BI42" s="1"/>
      <c r="BJ42" s="1"/>
      <c r="BK42" s="1"/>
      <c r="BL42" s="1"/>
      <c r="BM42" s="1"/>
      <c r="BN42" s="1"/>
      <c r="BO42" s="1"/>
      <c r="BP42" s="1"/>
      <c r="BQ42" s="4"/>
      <c r="BS42" s="154"/>
      <c r="BT42" s="192" t="s">
        <v>1</v>
      </c>
      <c r="BU42" s="193"/>
      <c r="BV42" s="193"/>
      <c r="BW42" s="193"/>
      <c r="BX42" s="193"/>
      <c r="BY42" s="193"/>
      <c r="BZ42" s="194"/>
      <c r="CA42" s="1"/>
      <c r="CB42" s="1"/>
      <c r="CC42" s="1"/>
      <c r="CD42" s="1"/>
      <c r="CE42" s="1"/>
      <c r="CF42" s="1"/>
      <c r="CG42" s="1"/>
      <c r="CH42" s="1"/>
      <c r="CI42" s="1"/>
      <c r="CJ42" s="4"/>
      <c r="CL42" s="154"/>
      <c r="CM42" s="192" t="s">
        <v>1</v>
      </c>
      <c r="CN42" s="193"/>
      <c r="CO42" s="193"/>
      <c r="CP42" s="193"/>
      <c r="CQ42" s="193"/>
      <c r="CR42" s="193"/>
      <c r="CS42" s="194"/>
      <c r="CT42" s="1"/>
      <c r="CU42" s="1"/>
      <c r="CV42" s="1"/>
      <c r="CW42" s="1"/>
      <c r="CX42" s="1"/>
      <c r="CY42" s="1"/>
      <c r="CZ42" s="1"/>
      <c r="DA42" s="1"/>
      <c r="DB42" s="1"/>
      <c r="DC42" s="4"/>
    </row>
    <row r="43" spans="14:107" x14ac:dyDescent="0.2">
      <c r="N43" s="154"/>
      <c r="O43" s="195" t="s">
        <v>10</v>
      </c>
      <c r="P43" s="18" t="s">
        <v>3</v>
      </c>
      <c r="Q43" s="18" t="s">
        <v>5</v>
      </c>
      <c r="R43" s="19" t="s">
        <v>4</v>
      </c>
      <c r="S43" s="146" t="s">
        <v>11</v>
      </c>
      <c r="T43" s="147"/>
      <c r="U43" s="148"/>
      <c r="V43" s="1"/>
      <c r="W43" s="1"/>
      <c r="X43" s="87"/>
      <c r="Y43" s="1"/>
      <c r="Z43" s="1"/>
      <c r="AA43" s="1"/>
      <c r="AB43" s="1"/>
      <c r="AC43" s="1"/>
      <c r="AD43" s="1"/>
      <c r="AE43" s="4"/>
      <c r="AG43" s="154"/>
      <c r="AH43" s="195" t="s">
        <v>10</v>
      </c>
      <c r="AI43" s="18" t="s">
        <v>3</v>
      </c>
      <c r="AJ43" s="18" t="s">
        <v>5</v>
      </c>
      <c r="AK43" s="19" t="s">
        <v>4</v>
      </c>
      <c r="AL43" s="146" t="s">
        <v>11</v>
      </c>
      <c r="AM43" s="147"/>
      <c r="AN43" s="148"/>
      <c r="AO43" s="1"/>
      <c r="AP43" s="1"/>
      <c r="AQ43" s="1"/>
      <c r="AR43" s="1"/>
      <c r="AS43" s="1"/>
      <c r="AT43" s="1"/>
      <c r="AU43" s="1"/>
      <c r="AV43" s="1"/>
      <c r="AW43" s="1"/>
      <c r="AX43" s="4"/>
      <c r="AZ43" s="154"/>
      <c r="BA43" s="195" t="s">
        <v>10</v>
      </c>
      <c r="BB43" s="18" t="s">
        <v>3</v>
      </c>
      <c r="BC43" s="18" t="s">
        <v>5</v>
      </c>
      <c r="BD43" s="19" t="s">
        <v>4</v>
      </c>
      <c r="BE43" s="146" t="s">
        <v>11</v>
      </c>
      <c r="BF43" s="147"/>
      <c r="BG43" s="148"/>
      <c r="BH43" s="1"/>
      <c r="BI43" s="1"/>
      <c r="BJ43" s="1"/>
      <c r="BK43" s="1"/>
      <c r="BL43" s="1"/>
      <c r="BM43" s="1"/>
      <c r="BN43" s="1"/>
      <c r="BO43" s="1"/>
      <c r="BP43" s="1"/>
      <c r="BQ43" s="4"/>
      <c r="BS43" s="154"/>
      <c r="BT43" s="195" t="s">
        <v>10</v>
      </c>
      <c r="BU43" s="18" t="s">
        <v>3</v>
      </c>
      <c r="BV43" s="18" t="s">
        <v>5</v>
      </c>
      <c r="BW43" s="19" t="s">
        <v>4</v>
      </c>
      <c r="BX43" s="146" t="s">
        <v>11</v>
      </c>
      <c r="BY43" s="147"/>
      <c r="BZ43" s="148"/>
      <c r="CA43" s="1"/>
      <c r="CB43" s="1"/>
      <c r="CC43" s="1"/>
      <c r="CD43" s="1"/>
      <c r="CE43" s="1"/>
      <c r="CF43" s="1"/>
      <c r="CG43" s="1"/>
      <c r="CH43" s="1"/>
      <c r="CI43" s="1"/>
      <c r="CJ43" s="4"/>
      <c r="CL43" s="154"/>
      <c r="CM43" s="195" t="s">
        <v>10</v>
      </c>
      <c r="CN43" s="18" t="s">
        <v>3</v>
      </c>
      <c r="CO43" s="18" t="s">
        <v>5</v>
      </c>
      <c r="CP43" s="19" t="s">
        <v>4</v>
      </c>
      <c r="CQ43" s="146" t="s">
        <v>11</v>
      </c>
      <c r="CR43" s="147"/>
      <c r="CS43" s="148"/>
      <c r="CT43" s="1"/>
      <c r="CU43" s="1"/>
      <c r="CV43" s="1"/>
      <c r="CW43" s="1"/>
      <c r="CX43" s="1"/>
      <c r="CY43" s="1"/>
      <c r="CZ43" s="1"/>
      <c r="DA43" s="1"/>
      <c r="DB43" s="1"/>
      <c r="DC43" s="4"/>
    </row>
    <row r="44" spans="14:107" x14ac:dyDescent="0.2">
      <c r="N44" s="154"/>
      <c r="O44" s="158"/>
      <c r="P44" s="144" t="s">
        <v>12</v>
      </c>
      <c r="Q44" s="144"/>
      <c r="R44" s="145"/>
      <c r="S44" s="51">
        <v>107</v>
      </c>
      <c r="T44" s="51">
        <v>111</v>
      </c>
      <c r="U44" s="51">
        <v>113</v>
      </c>
      <c r="V44" s="1"/>
      <c r="W44" s="1"/>
      <c r="X44" s="87"/>
      <c r="Y44" s="1"/>
      <c r="Z44" s="1"/>
      <c r="AA44" s="1"/>
      <c r="AB44" s="1"/>
      <c r="AC44" s="1"/>
      <c r="AD44" s="1"/>
      <c r="AE44" s="4"/>
      <c r="AG44" s="154"/>
      <c r="AH44" s="158"/>
      <c r="AI44" s="144" t="s">
        <v>12</v>
      </c>
      <c r="AJ44" s="144"/>
      <c r="AK44" s="145"/>
      <c r="AL44" s="51">
        <v>107</v>
      </c>
      <c r="AM44" s="51">
        <v>111</v>
      </c>
      <c r="AN44" s="51">
        <v>113</v>
      </c>
      <c r="AO44" s="1"/>
      <c r="AP44" s="1"/>
      <c r="AQ44" s="1"/>
      <c r="AR44" s="1"/>
      <c r="AS44" s="1"/>
      <c r="AT44" s="1"/>
      <c r="AU44" s="1"/>
      <c r="AV44" s="1"/>
      <c r="AW44" s="1"/>
      <c r="AX44" s="4"/>
      <c r="AZ44" s="154"/>
      <c r="BA44" s="158"/>
      <c r="BB44" s="144" t="s">
        <v>12</v>
      </c>
      <c r="BC44" s="144"/>
      <c r="BD44" s="145"/>
      <c r="BE44" s="51">
        <v>107</v>
      </c>
      <c r="BF44" s="51">
        <v>111</v>
      </c>
      <c r="BG44" s="51">
        <v>113</v>
      </c>
      <c r="BH44" s="1"/>
      <c r="BI44" s="1"/>
      <c r="BJ44" s="1"/>
      <c r="BK44" s="1"/>
      <c r="BL44" s="1"/>
      <c r="BM44" s="1"/>
      <c r="BN44" s="1"/>
      <c r="BO44" s="1"/>
      <c r="BP44" s="1"/>
      <c r="BQ44" s="4"/>
      <c r="BS44" s="154"/>
      <c r="BT44" s="158"/>
      <c r="BU44" s="144" t="s">
        <v>12</v>
      </c>
      <c r="BV44" s="144"/>
      <c r="BW44" s="145"/>
      <c r="BX44" s="51">
        <v>107</v>
      </c>
      <c r="BY44" s="51">
        <v>111</v>
      </c>
      <c r="BZ44" s="51">
        <v>113</v>
      </c>
      <c r="CA44" s="1"/>
      <c r="CB44" s="1"/>
      <c r="CC44" s="1"/>
      <c r="CD44" s="1"/>
      <c r="CE44" s="1"/>
      <c r="CF44" s="1"/>
      <c r="CG44" s="1"/>
      <c r="CH44" s="1"/>
      <c r="CI44" s="1"/>
      <c r="CJ44" s="4"/>
      <c r="CL44" s="154"/>
      <c r="CM44" s="158"/>
      <c r="CN44" s="144" t="s">
        <v>12</v>
      </c>
      <c r="CO44" s="144"/>
      <c r="CP44" s="145"/>
      <c r="CQ44" s="51">
        <v>107</v>
      </c>
      <c r="CR44" s="51">
        <v>111</v>
      </c>
      <c r="CS44" s="51">
        <v>113</v>
      </c>
      <c r="CT44" s="1"/>
      <c r="CU44" s="1"/>
      <c r="CV44" s="1"/>
      <c r="CW44" s="1"/>
      <c r="CX44" s="1"/>
      <c r="CY44" s="1"/>
      <c r="CZ44" s="1"/>
      <c r="DA44" s="1"/>
      <c r="DB44" s="1"/>
      <c r="DC44" s="4"/>
    </row>
    <row r="45" spans="14:107" x14ac:dyDescent="0.2">
      <c r="N45" s="154"/>
      <c r="O45" s="71">
        <v>1.05</v>
      </c>
      <c r="P45" s="80"/>
      <c r="Q45" s="7"/>
      <c r="R45" s="3">
        <f>COUNT(S45:U45)</f>
        <v>0</v>
      </c>
      <c r="S45" s="24"/>
      <c r="T45" s="24"/>
      <c r="U45" s="25"/>
      <c r="V45" s="1"/>
      <c r="W45" s="1"/>
      <c r="X45" s="87"/>
      <c r="Y45" s="1"/>
      <c r="Z45" s="1"/>
      <c r="AA45" s="1"/>
      <c r="AB45" s="1"/>
      <c r="AC45" s="1"/>
      <c r="AD45" s="1"/>
      <c r="AE45" s="4"/>
      <c r="AG45" s="154"/>
      <c r="AH45" s="71">
        <v>1.05</v>
      </c>
      <c r="AI45" s="80"/>
      <c r="AJ45" s="7"/>
      <c r="AK45" s="7">
        <f>COUNT(AL45:AN45)</f>
        <v>0</v>
      </c>
      <c r="AL45" s="60"/>
      <c r="AM45" s="24"/>
      <c r="AN45" s="25"/>
      <c r="AO45" s="1"/>
      <c r="AP45" s="1"/>
      <c r="AQ45" s="1"/>
      <c r="AR45" s="1"/>
      <c r="AS45" s="1"/>
      <c r="AT45" s="1"/>
      <c r="AU45" s="1"/>
      <c r="AV45" s="1"/>
      <c r="AW45" s="1"/>
      <c r="AX45" s="4"/>
      <c r="AZ45" s="154"/>
      <c r="BA45" s="71">
        <v>1.05</v>
      </c>
      <c r="BB45" s="80"/>
      <c r="BC45" s="7"/>
      <c r="BD45" s="7">
        <f>COUNT(BE45:BG45)</f>
        <v>0</v>
      </c>
      <c r="BE45" s="60"/>
      <c r="BF45" s="24"/>
      <c r="BG45" s="25"/>
      <c r="BH45" s="1"/>
      <c r="BI45" s="1"/>
      <c r="BJ45" s="1"/>
      <c r="BK45" s="1"/>
      <c r="BL45" s="1"/>
      <c r="BM45" s="1"/>
      <c r="BN45" s="1"/>
      <c r="BO45" s="1"/>
      <c r="BP45" s="1"/>
      <c r="BQ45" s="4"/>
      <c r="BS45" s="154"/>
      <c r="BT45" s="71">
        <v>1.05</v>
      </c>
      <c r="BU45" s="80"/>
      <c r="BV45" s="7"/>
      <c r="BW45" s="7">
        <f>COUNT(BX45:BZ45)</f>
        <v>0</v>
      </c>
      <c r="BX45" s="60"/>
      <c r="BY45" s="24"/>
      <c r="BZ45" s="25"/>
      <c r="CA45" s="1"/>
      <c r="CB45" s="1"/>
      <c r="CC45" s="1"/>
      <c r="CD45" s="1"/>
      <c r="CE45" s="1"/>
      <c r="CF45" s="1"/>
      <c r="CG45" s="1"/>
      <c r="CH45" s="1"/>
      <c r="CI45" s="1"/>
      <c r="CJ45" s="4"/>
      <c r="CL45" s="154"/>
      <c r="CM45" s="71">
        <v>1.05</v>
      </c>
      <c r="CN45" s="80"/>
      <c r="CO45" s="7"/>
      <c r="CP45" s="7">
        <f>COUNT(CQ45:CS45)</f>
        <v>0</v>
      </c>
      <c r="CQ45" s="60"/>
      <c r="CR45" s="24"/>
      <c r="CS45" s="25"/>
      <c r="CT45" s="1"/>
      <c r="CU45" s="1"/>
      <c r="CV45" s="1"/>
      <c r="CW45" s="1"/>
      <c r="CX45" s="1"/>
      <c r="CY45" s="1"/>
      <c r="CZ45" s="1"/>
      <c r="DA45" s="1"/>
      <c r="DB45" s="1"/>
      <c r="DC45" s="4"/>
    </row>
    <row r="46" spans="14:107" x14ac:dyDescent="0.2">
      <c r="N46" s="154"/>
      <c r="O46" s="72">
        <v>2.79</v>
      </c>
      <c r="P46" s="41">
        <f t="shared" ref="P46:P51" si="73">AVERAGE(S46:U46)</f>
        <v>66.470115661621094</v>
      </c>
      <c r="Q46" s="1"/>
      <c r="R46" s="4">
        <f t="shared" ref="R46:R51" si="74">COUNT(S46:U46)</f>
        <v>1</v>
      </c>
      <c r="S46" s="26">
        <v>66.470115661621094</v>
      </c>
      <c r="T46" s="26"/>
      <c r="U46" s="15"/>
      <c r="V46" s="1"/>
      <c r="W46" s="1"/>
      <c r="X46" s="87"/>
      <c r="Y46" s="1"/>
      <c r="Z46" s="1"/>
      <c r="AA46" s="1"/>
      <c r="AB46" s="1"/>
      <c r="AC46" s="1"/>
      <c r="AD46" s="1"/>
      <c r="AE46" s="4"/>
      <c r="AG46" s="154"/>
      <c r="AH46" s="72">
        <v>2.79</v>
      </c>
      <c r="AI46" s="41">
        <f t="shared" ref="AI46:AI51" si="75">AVERAGE(AL46:AN46)</f>
        <v>57.964868888854902</v>
      </c>
      <c r="AJ46" s="1"/>
      <c r="AK46" s="1">
        <f t="shared" ref="AK46:AK51" si="76">COUNT(AL46:AN46)</f>
        <v>1</v>
      </c>
      <c r="AL46" s="30">
        <v>57.964868888854902</v>
      </c>
      <c r="AM46" s="26"/>
      <c r="AN46" s="15"/>
      <c r="AO46" s="1"/>
      <c r="AP46" s="1"/>
      <c r="AQ46" s="1"/>
      <c r="AR46" s="1"/>
      <c r="AS46" s="1"/>
      <c r="AT46" s="1"/>
      <c r="AU46" s="1"/>
      <c r="AV46" s="1"/>
      <c r="AW46" s="1"/>
      <c r="AX46" s="4"/>
      <c r="AZ46" s="154"/>
      <c r="BA46" s="72">
        <v>2.79</v>
      </c>
      <c r="BB46" s="41">
        <f t="shared" ref="BB46:BB51" si="77">AVERAGE(BE46:BG46)</f>
        <v>40.074203491210902</v>
      </c>
      <c r="BC46" s="1"/>
      <c r="BD46" s="1">
        <f t="shared" ref="BD46:BD51" si="78">COUNT(BE46:BG46)</f>
        <v>1</v>
      </c>
      <c r="BE46" s="30">
        <v>40.074203491210902</v>
      </c>
      <c r="BF46" s="26"/>
      <c r="BG46" s="15"/>
      <c r="BH46" s="1"/>
      <c r="BI46" s="1"/>
      <c r="BJ46" s="1"/>
      <c r="BK46" s="1"/>
      <c r="BL46" s="1"/>
      <c r="BM46" s="1"/>
      <c r="BN46" s="1"/>
      <c r="BO46" s="1"/>
      <c r="BP46" s="1"/>
      <c r="BQ46" s="4"/>
      <c r="BS46" s="154"/>
      <c r="BT46" s="72">
        <v>2.79</v>
      </c>
      <c r="BU46" s="41" t="e">
        <f t="shared" ref="BU46:BU51" si="79">AVERAGE(BX46:BZ46)</f>
        <v>#DIV/0!</v>
      </c>
      <c r="BV46" s="1"/>
      <c r="BW46" s="1">
        <f t="shared" ref="BW46:BW51" si="80">COUNT(BX46:BZ46)</f>
        <v>0</v>
      </c>
      <c r="BX46" s="30"/>
      <c r="BY46" s="26"/>
      <c r="BZ46" s="15"/>
      <c r="CA46" s="1"/>
      <c r="CB46" s="1"/>
      <c r="CC46" s="1"/>
      <c r="CD46" s="1"/>
      <c r="CE46" s="1"/>
      <c r="CF46" s="1"/>
      <c r="CG46" s="1"/>
      <c r="CH46" s="1"/>
      <c r="CI46" s="1"/>
      <c r="CJ46" s="4"/>
      <c r="CL46" s="154"/>
      <c r="CM46" s="72">
        <v>2.79</v>
      </c>
      <c r="CN46" s="41">
        <f t="shared" ref="CN46:CN51" si="81">AVERAGE(CQ46:CS46)</f>
        <v>37.2045582661206</v>
      </c>
      <c r="CO46" s="1"/>
      <c r="CP46" s="1">
        <f t="shared" ref="CP46:CP51" si="82">COUNT(CQ46:CS46)</f>
        <v>1</v>
      </c>
      <c r="CQ46" s="30">
        <v>37.2045582661206</v>
      </c>
      <c r="CR46" s="26"/>
      <c r="CS46" s="15"/>
      <c r="CT46" s="1"/>
      <c r="CU46" s="1"/>
      <c r="CV46" s="1"/>
      <c r="CW46" s="1"/>
      <c r="CX46" s="1"/>
      <c r="CY46" s="1"/>
      <c r="CZ46" s="1"/>
      <c r="DA46" s="1"/>
      <c r="DB46" s="1"/>
      <c r="DC46" s="4"/>
    </row>
    <row r="47" spans="14:107" x14ac:dyDescent="0.2">
      <c r="N47" s="154"/>
      <c r="O47" s="72">
        <v>5.35</v>
      </c>
      <c r="P47" s="41">
        <f t="shared" si="73"/>
        <v>92.104881286621094</v>
      </c>
      <c r="Q47" s="1"/>
      <c r="R47" s="4">
        <f t="shared" si="74"/>
        <v>1</v>
      </c>
      <c r="S47" s="26">
        <v>92.104881286621094</v>
      </c>
      <c r="T47" s="26"/>
      <c r="U47" s="15"/>
      <c r="V47" s="1"/>
      <c r="W47" s="1"/>
      <c r="X47" s="87"/>
      <c r="Y47" s="1"/>
      <c r="Z47" s="1"/>
      <c r="AA47" s="1"/>
      <c r="AB47" s="1"/>
      <c r="AC47" s="1"/>
      <c r="AD47" s="1"/>
      <c r="AE47" s="4"/>
      <c r="AG47" s="154"/>
      <c r="AH47" s="72">
        <v>5.35</v>
      </c>
      <c r="AI47" s="41">
        <f t="shared" si="75"/>
        <v>77.133567810058594</v>
      </c>
      <c r="AJ47" s="1"/>
      <c r="AK47" s="1">
        <f t="shared" si="76"/>
        <v>1</v>
      </c>
      <c r="AL47" s="30">
        <v>77.133567810058594</v>
      </c>
      <c r="AM47" s="26"/>
      <c r="AN47" s="15"/>
      <c r="AO47" s="1"/>
      <c r="AP47" s="1"/>
      <c r="AQ47" s="1"/>
      <c r="AR47" s="1"/>
      <c r="AS47" s="1"/>
      <c r="AT47" s="1"/>
      <c r="AU47" s="1"/>
      <c r="AV47" s="1"/>
      <c r="AW47" s="1"/>
      <c r="AX47" s="4"/>
      <c r="AZ47" s="154"/>
      <c r="BA47" s="72">
        <v>5.35</v>
      </c>
      <c r="BB47" s="41">
        <f t="shared" si="77"/>
        <v>28.4148559570312</v>
      </c>
      <c r="BC47" s="1"/>
      <c r="BD47" s="1">
        <f t="shared" si="78"/>
        <v>1</v>
      </c>
      <c r="BE47" s="30">
        <v>28.4148559570312</v>
      </c>
      <c r="BF47" s="26"/>
      <c r="BG47" s="15"/>
      <c r="BH47" s="1"/>
      <c r="BI47" s="1"/>
      <c r="BJ47" s="1"/>
      <c r="BK47" s="1"/>
      <c r="BL47" s="1"/>
      <c r="BM47" s="1"/>
      <c r="BN47" s="1"/>
      <c r="BO47" s="1"/>
      <c r="BP47" s="1"/>
      <c r="BQ47" s="4"/>
      <c r="BS47" s="154"/>
      <c r="BT47" s="72">
        <v>5.35</v>
      </c>
      <c r="BU47" s="41" t="e">
        <f t="shared" si="79"/>
        <v>#DIV/0!</v>
      </c>
      <c r="BV47" s="1"/>
      <c r="BW47" s="1">
        <f t="shared" si="80"/>
        <v>0</v>
      </c>
      <c r="BX47" s="30"/>
      <c r="BY47" s="26"/>
      <c r="BZ47" s="15"/>
      <c r="CA47" s="1"/>
      <c r="CB47" s="1"/>
      <c r="CC47" s="1"/>
      <c r="CD47" s="1"/>
      <c r="CE47" s="1"/>
      <c r="CF47" s="1"/>
      <c r="CG47" s="1"/>
      <c r="CH47" s="1"/>
      <c r="CI47" s="1"/>
      <c r="CJ47" s="4"/>
      <c r="CL47" s="154"/>
      <c r="CM47" s="72">
        <v>5.35</v>
      </c>
      <c r="CN47" s="41">
        <f t="shared" si="81"/>
        <v>35.539234462619497</v>
      </c>
      <c r="CO47" s="1"/>
      <c r="CP47" s="1">
        <f t="shared" si="82"/>
        <v>1</v>
      </c>
      <c r="CQ47" s="30">
        <v>35.539234462619497</v>
      </c>
      <c r="CR47" s="26"/>
      <c r="CS47" s="15"/>
      <c r="CT47" s="1"/>
      <c r="CU47" s="1"/>
      <c r="CV47" s="1"/>
      <c r="CW47" s="1"/>
      <c r="CX47" s="1"/>
      <c r="CY47" s="1"/>
      <c r="CZ47" s="1"/>
      <c r="DA47" s="1"/>
      <c r="DB47" s="1"/>
      <c r="DC47" s="4"/>
    </row>
    <row r="48" spans="14:107" x14ac:dyDescent="0.2">
      <c r="N48" s="154"/>
      <c r="O48" s="72">
        <v>10</v>
      </c>
      <c r="P48" s="41">
        <f t="shared" si="73"/>
        <v>130.04468536376933</v>
      </c>
      <c r="Q48" s="1">
        <f t="shared" ref="Q48:Q51" si="83">STDEV(S48:U48)</f>
        <v>18.487909934979161</v>
      </c>
      <c r="R48" s="4">
        <f t="shared" si="74"/>
        <v>3</v>
      </c>
      <c r="S48" s="26">
        <v>124.27040863037099</v>
      </c>
      <c r="T48" s="26">
        <v>150.73059082031199</v>
      </c>
      <c r="U48" s="15">
        <v>115.133056640625</v>
      </c>
      <c r="V48" s="1"/>
      <c r="W48" s="1"/>
      <c r="X48" s="87"/>
      <c r="Y48" s="1"/>
      <c r="Z48" s="1"/>
      <c r="AA48" s="1"/>
      <c r="AB48" s="1"/>
      <c r="AC48" s="1"/>
      <c r="AD48" s="1"/>
      <c r="AE48" s="4"/>
      <c r="AG48" s="154"/>
      <c r="AH48" s="72">
        <v>10</v>
      </c>
      <c r="AI48" s="41">
        <f t="shared" si="75"/>
        <v>100.0363464355467</v>
      </c>
      <c r="AJ48" s="1">
        <f t="shared" ref="AJ48:AJ51" si="84">STDEV(AL48:AN48)</f>
        <v>17.405915931909732</v>
      </c>
      <c r="AK48" s="1">
        <f t="shared" si="76"/>
        <v>3</v>
      </c>
      <c r="AL48" s="30">
        <v>97.944725036621094</v>
      </c>
      <c r="AM48" s="26">
        <v>118.39356231689401</v>
      </c>
      <c r="AN48" s="15">
        <v>83.770751953125</v>
      </c>
      <c r="AO48" s="1"/>
      <c r="AP48" s="1"/>
      <c r="AQ48" s="1"/>
      <c r="AR48" s="1"/>
      <c r="AS48" s="1"/>
      <c r="AT48" s="1"/>
      <c r="AU48" s="1"/>
      <c r="AV48" s="1"/>
      <c r="AW48" s="1"/>
      <c r="AX48" s="4"/>
      <c r="AZ48" s="154"/>
      <c r="BA48" s="72">
        <v>10</v>
      </c>
      <c r="BB48" s="41">
        <f t="shared" si="77"/>
        <v>24.81840324401853</v>
      </c>
      <c r="BC48" s="1">
        <f t="shared" ref="BC48:BC51" si="85">STDEV(BE48:BG48)</f>
        <v>4.0892467206544465</v>
      </c>
      <c r="BD48" s="1">
        <f t="shared" si="78"/>
        <v>3</v>
      </c>
      <c r="BE48" s="30">
        <v>25.192327499389599</v>
      </c>
      <c r="BF48" s="26">
        <v>20.555036544799801</v>
      </c>
      <c r="BG48" s="15">
        <v>28.7078456878662</v>
      </c>
      <c r="BH48" s="1"/>
      <c r="BI48" s="1"/>
      <c r="BJ48" s="1"/>
      <c r="BK48" s="1"/>
      <c r="BL48" s="1"/>
      <c r="BM48" s="1"/>
      <c r="BN48" s="1"/>
      <c r="BO48" s="1"/>
      <c r="BP48" s="1"/>
      <c r="BQ48" s="4"/>
      <c r="BS48" s="154"/>
      <c r="BT48" s="72">
        <v>10</v>
      </c>
      <c r="BU48" s="41">
        <f t="shared" si="79"/>
        <v>975.06349999999998</v>
      </c>
      <c r="BV48" s="1">
        <f t="shared" ref="BV48:BV51" si="86">STDEV(BX48:BZ48)</f>
        <v>235.78687750699771</v>
      </c>
      <c r="BW48" s="1">
        <f t="shared" si="80"/>
        <v>2</v>
      </c>
      <c r="BX48" s="30">
        <v>808.33699999999999</v>
      </c>
      <c r="BY48" s="26">
        <v>1141.79</v>
      </c>
      <c r="BZ48" s="15"/>
      <c r="CA48" s="1"/>
      <c r="CB48" s="1"/>
      <c r="CC48" s="1"/>
      <c r="CD48" s="1"/>
      <c r="CE48" s="1"/>
      <c r="CF48" s="1"/>
      <c r="CG48" s="1"/>
      <c r="CH48" s="1"/>
      <c r="CI48" s="1"/>
      <c r="CJ48" s="4"/>
      <c r="CL48" s="154"/>
      <c r="CM48" s="72">
        <v>10</v>
      </c>
      <c r="CN48" s="41">
        <f t="shared" si="81"/>
        <v>28.367839500972835</v>
      </c>
      <c r="CO48" s="1">
        <f t="shared" ref="CO48:CO51" si="87">STDEV(CQ48:CS48)</f>
        <v>2.7064576894854158</v>
      </c>
      <c r="CP48" s="1">
        <f t="shared" si="82"/>
        <v>3</v>
      </c>
      <c r="CQ48" s="30">
        <v>28.884452390876401</v>
      </c>
      <c r="CR48" s="26">
        <v>30.778755146155898</v>
      </c>
      <c r="CS48" s="15">
        <v>25.440310965886201</v>
      </c>
      <c r="CT48" s="1"/>
      <c r="CU48" s="1"/>
      <c r="CV48" s="1"/>
      <c r="CW48" s="1"/>
      <c r="CX48" s="1"/>
      <c r="CY48" s="1"/>
      <c r="CZ48" s="1"/>
      <c r="DA48" s="1"/>
      <c r="DB48" s="1"/>
      <c r="DC48" s="4"/>
    </row>
    <row r="49" spans="14:107" x14ac:dyDescent="0.2">
      <c r="N49" s="154"/>
      <c r="O49" s="73">
        <v>15</v>
      </c>
      <c r="P49" s="41">
        <f t="shared" si="73"/>
        <v>162.33228047688766</v>
      </c>
      <c r="Q49" s="1">
        <f t="shared" si="83"/>
        <v>31.291310364187659</v>
      </c>
      <c r="R49" s="4">
        <f t="shared" si="74"/>
        <v>3</v>
      </c>
      <c r="S49" s="26">
        <v>141.17713928222599</v>
      </c>
      <c r="T49" s="26">
        <v>198.27697753906199</v>
      </c>
      <c r="U49" s="15">
        <v>147.542724609375</v>
      </c>
      <c r="V49" s="1"/>
      <c r="W49" s="1"/>
      <c r="X49" s="87"/>
      <c r="Y49" s="1"/>
      <c r="Z49" s="1"/>
      <c r="AA49" s="1"/>
      <c r="AB49" s="1"/>
      <c r="AC49" s="1"/>
      <c r="AD49" s="1"/>
      <c r="AE49" s="4"/>
      <c r="AG49" s="154"/>
      <c r="AH49" s="73">
        <v>15</v>
      </c>
      <c r="AI49" s="41">
        <f t="shared" si="75"/>
        <v>100.13726043701166</v>
      </c>
      <c r="AJ49" s="1">
        <f t="shared" si="84"/>
        <v>4.3010037038108839</v>
      </c>
      <c r="AK49" s="1">
        <f t="shared" si="76"/>
        <v>3</v>
      </c>
      <c r="AL49" s="30">
        <v>104.71962738037099</v>
      </c>
      <c r="AM49" s="26">
        <v>99.504409790039006</v>
      </c>
      <c r="AN49" s="15">
        <v>96.187744140625</v>
      </c>
      <c r="AO49" s="1"/>
      <c r="AP49" s="1"/>
      <c r="AQ49" s="1"/>
      <c r="AR49" s="1"/>
      <c r="AS49" s="1"/>
      <c r="AT49" s="1"/>
      <c r="AU49" s="1"/>
      <c r="AV49" s="1"/>
      <c r="AW49" s="1"/>
      <c r="AX49" s="4"/>
      <c r="AZ49" s="154"/>
      <c r="BA49" s="73">
        <v>15</v>
      </c>
      <c r="BB49" s="41">
        <f t="shared" si="77"/>
        <v>21.251032511393202</v>
      </c>
      <c r="BC49" s="1">
        <f t="shared" si="85"/>
        <v>2.6622174126017049</v>
      </c>
      <c r="BD49" s="1">
        <f t="shared" si="78"/>
        <v>3</v>
      </c>
      <c r="BE49" s="30">
        <v>23.778413772583001</v>
      </c>
      <c r="BF49" s="26">
        <v>18.471868515014599</v>
      </c>
      <c r="BG49" s="15">
        <v>21.502815246581999</v>
      </c>
      <c r="BH49" s="1"/>
      <c r="BI49" s="1"/>
      <c r="BJ49" s="1"/>
      <c r="BK49" s="1"/>
      <c r="BL49" s="1"/>
      <c r="BM49" s="1"/>
      <c r="BN49" s="1"/>
      <c r="BO49" s="1"/>
      <c r="BP49" s="1"/>
      <c r="BQ49" s="4"/>
      <c r="BS49" s="154"/>
      <c r="BT49" s="73">
        <v>15</v>
      </c>
      <c r="BU49" s="41">
        <f t="shared" si="79"/>
        <v>868.205334281506</v>
      </c>
      <c r="BV49" s="1">
        <f t="shared" si="86"/>
        <v>519.66394359317542</v>
      </c>
      <c r="BW49" s="1">
        <f t="shared" si="80"/>
        <v>3</v>
      </c>
      <c r="BX49" s="30">
        <v>752.83199999999999</v>
      </c>
      <c r="BY49" s="26">
        <v>415.92400284451799</v>
      </c>
      <c r="BZ49" s="15">
        <v>1435.86</v>
      </c>
      <c r="CA49" s="1"/>
      <c r="CB49" s="1"/>
      <c r="CC49" s="1"/>
      <c r="CD49" s="1"/>
      <c r="CE49" s="1"/>
      <c r="CF49" s="1"/>
      <c r="CG49" s="1"/>
      <c r="CH49" s="1"/>
      <c r="CI49" s="1"/>
      <c r="CJ49" s="4"/>
      <c r="CL49" s="154"/>
      <c r="CM49" s="73">
        <v>15</v>
      </c>
      <c r="CN49" s="41">
        <f t="shared" si="81"/>
        <v>32.0544978318825</v>
      </c>
      <c r="CO49" s="1">
        <f t="shared" si="87"/>
        <v>12.647575883982897</v>
      </c>
      <c r="CP49" s="1">
        <f t="shared" si="82"/>
        <v>3</v>
      </c>
      <c r="CQ49" s="30">
        <v>31.3520153659648</v>
      </c>
      <c r="CR49" s="26">
        <v>45.038674769970001</v>
      </c>
      <c r="CS49" s="15">
        <v>19.7728033597127</v>
      </c>
      <c r="CT49" s="1"/>
      <c r="CU49" s="1"/>
      <c r="CV49" s="1"/>
      <c r="CW49" s="1"/>
      <c r="CX49" s="1"/>
      <c r="CY49" s="1"/>
      <c r="CZ49" s="1"/>
      <c r="DA49" s="1"/>
      <c r="DB49" s="1"/>
      <c r="DC49" s="4"/>
    </row>
    <row r="50" spans="14:107" x14ac:dyDescent="0.2">
      <c r="N50" s="154"/>
      <c r="O50" s="72">
        <v>20.23</v>
      </c>
      <c r="P50" s="41">
        <f t="shared" si="73"/>
        <v>179.01522318522098</v>
      </c>
      <c r="Q50" s="1">
        <f t="shared" si="83"/>
        <v>34.561225389184642</v>
      </c>
      <c r="R50" s="4">
        <f t="shared" si="74"/>
        <v>3</v>
      </c>
      <c r="S50" s="26">
        <v>158.08387756347599</v>
      </c>
      <c r="T50" s="26">
        <v>218.90686035156199</v>
      </c>
      <c r="U50" s="15">
        <v>160.054931640625</v>
      </c>
      <c r="V50" s="1"/>
      <c r="W50" s="1"/>
      <c r="X50" s="87"/>
      <c r="Y50" s="1"/>
      <c r="Z50" s="1"/>
      <c r="AA50" s="1"/>
      <c r="AB50" s="1"/>
      <c r="AC50" s="1"/>
      <c r="AD50" s="1"/>
      <c r="AE50" s="4"/>
      <c r="AG50" s="154"/>
      <c r="AH50" s="72">
        <v>20.23</v>
      </c>
      <c r="AI50" s="41">
        <f t="shared" si="75"/>
        <v>122.29647572835268</v>
      </c>
      <c r="AJ50" s="1">
        <f t="shared" si="84"/>
        <v>29.833467385976267</v>
      </c>
      <c r="AK50" s="1">
        <f t="shared" si="76"/>
        <v>3</v>
      </c>
      <c r="AL50" s="30">
        <v>111.882102966308</v>
      </c>
      <c r="AM50" s="26">
        <v>155.941162109375</v>
      </c>
      <c r="AN50" s="15">
        <v>99.066162109375</v>
      </c>
      <c r="AO50" s="1"/>
      <c r="AP50" s="1"/>
      <c r="AQ50" s="1"/>
      <c r="AR50" s="1"/>
      <c r="AS50" s="1"/>
      <c r="AT50" s="1"/>
      <c r="AU50" s="1"/>
      <c r="AV50" s="1"/>
      <c r="AW50" s="1"/>
      <c r="AX50" s="4"/>
      <c r="AZ50" s="154"/>
      <c r="BA50" s="72">
        <v>20.23</v>
      </c>
      <c r="BB50" s="41">
        <f t="shared" si="77"/>
        <v>17.595928827921501</v>
      </c>
      <c r="BC50" s="1">
        <f t="shared" si="85"/>
        <v>1.6936957206888787</v>
      </c>
      <c r="BD50" s="1">
        <f t="shared" si="78"/>
        <v>3</v>
      </c>
      <c r="BE50" s="30">
        <v>19.5061645507812</v>
      </c>
      <c r="BF50" s="26">
        <v>17.003929138183501</v>
      </c>
      <c r="BG50" s="15">
        <v>16.277692794799801</v>
      </c>
      <c r="BH50" s="1"/>
      <c r="BI50" s="1"/>
      <c r="BJ50" s="1"/>
      <c r="BK50" s="1"/>
      <c r="BL50" s="1"/>
      <c r="BM50" s="1"/>
      <c r="BN50" s="1"/>
      <c r="BO50" s="1"/>
      <c r="BP50" s="1"/>
      <c r="BQ50" s="4"/>
      <c r="BS50" s="154"/>
      <c r="BT50" s="72">
        <v>20.23</v>
      </c>
      <c r="BU50" s="41">
        <f t="shared" si="79"/>
        <v>645.97044394179602</v>
      </c>
      <c r="BV50" s="1">
        <f t="shared" si="86"/>
        <v>258.10919849873318</v>
      </c>
      <c r="BW50" s="1">
        <f t="shared" si="80"/>
        <v>3</v>
      </c>
      <c r="BX50" s="30">
        <v>446.578351356464</v>
      </c>
      <c r="BY50" s="26">
        <v>553.82683476539501</v>
      </c>
      <c r="BZ50" s="15">
        <v>937.506145703529</v>
      </c>
      <c r="CA50" s="1"/>
      <c r="CB50" s="1"/>
      <c r="CC50" s="1"/>
      <c r="CD50" s="1"/>
      <c r="CE50" s="1"/>
      <c r="CF50" s="1"/>
      <c r="CG50" s="1"/>
      <c r="CH50" s="1"/>
      <c r="CI50" s="1"/>
      <c r="CJ50" s="4"/>
      <c r="CL50" s="154"/>
      <c r="CM50" s="72">
        <v>20.23</v>
      </c>
      <c r="CN50" s="41">
        <f t="shared" si="81"/>
        <v>29.146940633525833</v>
      </c>
      <c r="CO50" s="1">
        <f t="shared" si="87"/>
        <v>1.1850667373683785</v>
      </c>
      <c r="CP50" s="1">
        <f t="shared" si="82"/>
        <v>3</v>
      </c>
      <c r="CQ50" s="30">
        <v>29.361532867789901</v>
      </c>
      <c r="CR50" s="26">
        <v>30.210048635389501</v>
      </c>
      <c r="CS50" s="15">
        <v>27.869240397398102</v>
      </c>
      <c r="CT50" s="1"/>
      <c r="CU50" s="1"/>
      <c r="CV50" s="1"/>
      <c r="CW50" s="1"/>
      <c r="CX50" s="1"/>
      <c r="CY50" s="1"/>
      <c r="CZ50" s="1"/>
      <c r="DA50" s="1"/>
      <c r="DB50" s="1"/>
      <c r="DC50" s="4"/>
    </row>
    <row r="51" spans="14:107" x14ac:dyDescent="0.2">
      <c r="N51" s="154"/>
      <c r="O51" s="74">
        <v>30.47</v>
      </c>
      <c r="P51" s="42">
        <f t="shared" si="73"/>
        <v>208.64593505859349</v>
      </c>
      <c r="Q51" s="2">
        <f t="shared" si="83"/>
        <v>50.246272452441985</v>
      </c>
      <c r="R51" s="10">
        <f t="shared" si="74"/>
        <v>2</v>
      </c>
      <c r="S51" s="12"/>
      <c r="T51" s="12">
        <v>244.17541503906199</v>
      </c>
      <c r="U51" s="13">
        <v>173.116455078125</v>
      </c>
      <c r="V51" s="1"/>
      <c r="W51" s="1"/>
      <c r="X51" s="87"/>
      <c r="Y51" s="1"/>
      <c r="Z51" s="1"/>
      <c r="AA51" s="1"/>
      <c r="AB51" s="1"/>
      <c r="AC51" s="1"/>
      <c r="AD51" s="1"/>
      <c r="AE51" s="4"/>
      <c r="AG51" s="154"/>
      <c r="AH51" s="74">
        <v>30.47</v>
      </c>
      <c r="AI51" s="42">
        <f t="shared" si="75"/>
        <v>130.03387451171875</v>
      </c>
      <c r="AJ51" s="2">
        <f t="shared" si="84"/>
        <v>47.227775853553901</v>
      </c>
      <c r="AK51" s="2">
        <f t="shared" si="76"/>
        <v>2</v>
      </c>
      <c r="AL51" s="11"/>
      <c r="AM51" s="12">
        <v>163.428955078125</v>
      </c>
      <c r="AN51" s="13">
        <v>96.6387939453125</v>
      </c>
      <c r="AO51" s="41"/>
      <c r="AP51" s="1"/>
      <c r="AQ51" s="1"/>
      <c r="AR51" s="1"/>
      <c r="AS51" s="1"/>
      <c r="AT51" s="1"/>
      <c r="AU51" s="1"/>
      <c r="AV51" s="1"/>
      <c r="AW51" s="1"/>
      <c r="AX51" s="4"/>
      <c r="AZ51" s="154"/>
      <c r="BA51" s="74">
        <v>30.47</v>
      </c>
      <c r="BB51" s="42">
        <f t="shared" si="77"/>
        <v>14.5932621955871</v>
      </c>
      <c r="BC51" s="2">
        <f t="shared" si="85"/>
        <v>0.47566528619652065</v>
      </c>
      <c r="BD51" s="2">
        <f t="shared" si="78"/>
        <v>2</v>
      </c>
      <c r="BE51" s="11"/>
      <c r="BF51" s="12">
        <v>14.929608345031699</v>
      </c>
      <c r="BG51" s="13">
        <v>14.2569160461425</v>
      </c>
      <c r="BH51" s="1"/>
      <c r="BI51" s="1"/>
      <c r="BJ51" s="1"/>
      <c r="BK51" s="1"/>
      <c r="BL51" s="1"/>
      <c r="BM51" s="1"/>
      <c r="BN51" s="1"/>
      <c r="BO51" s="1"/>
      <c r="BP51" s="1"/>
      <c r="BQ51" s="4"/>
      <c r="BS51" s="154"/>
      <c r="BT51" s="74">
        <v>30.47</v>
      </c>
      <c r="BU51" s="42">
        <f t="shared" si="79"/>
        <v>553.04385324144096</v>
      </c>
      <c r="BV51" s="2">
        <f t="shared" si="86"/>
        <v>4.2475119359754467</v>
      </c>
      <c r="BW51" s="2">
        <f t="shared" si="80"/>
        <v>2</v>
      </c>
      <c r="BX51" s="11"/>
      <c r="BY51" s="12">
        <v>550.04040874834197</v>
      </c>
      <c r="BZ51" s="13">
        <v>556.04729773454005</v>
      </c>
      <c r="CA51" s="1"/>
      <c r="CB51" s="1"/>
      <c r="CC51" s="1"/>
      <c r="CD51" s="1"/>
      <c r="CE51" s="1"/>
      <c r="CF51" s="1"/>
      <c r="CG51" s="1"/>
      <c r="CH51" s="1"/>
      <c r="CI51" s="1"/>
      <c r="CJ51" s="4"/>
      <c r="CL51" s="154"/>
      <c r="CM51" s="74">
        <v>30.47</v>
      </c>
      <c r="CN51" s="42">
        <f t="shared" si="81"/>
        <v>27.525893977238599</v>
      </c>
      <c r="CO51" s="2">
        <f t="shared" si="87"/>
        <v>3.6504405556004982</v>
      </c>
      <c r="CP51" s="2">
        <f t="shared" si="82"/>
        <v>2</v>
      </c>
      <c r="CQ51" s="11"/>
      <c r="CR51" s="12">
        <v>30.1071452484221</v>
      </c>
      <c r="CS51" s="13">
        <v>24.944642706055099</v>
      </c>
      <c r="CT51" s="1"/>
      <c r="CU51" s="1"/>
      <c r="CV51" s="1"/>
      <c r="CW51" s="1"/>
      <c r="CX51" s="1"/>
      <c r="CY51" s="1"/>
      <c r="CZ51" s="1"/>
      <c r="DA51" s="1"/>
      <c r="DB51" s="1"/>
      <c r="DC51" s="4"/>
    </row>
    <row r="52" spans="14:107" x14ac:dyDescent="0.2">
      <c r="N52" s="154"/>
      <c r="O52" s="1"/>
      <c r="P52" s="1"/>
      <c r="Q52" s="1"/>
      <c r="R52" s="1"/>
      <c r="S52" s="1"/>
      <c r="T52" s="1"/>
      <c r="U52" s="1"/>
      <c r="V52" s="1"/>
      <c r="W52" s="1"/>
      <c r="X52" s="87"/>
      <c r="Y52" s="1"/>
      <c r="Z52" s="1"/>
      <c r="AA52" s="1"/>
      <c r="AB52" s="1"/>
      <c r="AC52" s="1"/>
      <c r="AD52" s="1"/>
      <c r="AE52" s="4"/>
      <c r="AG52" s="154"/>
      <c r="AH52" s="1"/>
      <c r="AI52" s="1"/>
      <c r="AJ52" s="1"/>
      <c r="AK52" s="1"/>
      <c r="AL52" s="30"/>
      <c r="AM52" s="26"/>
      <c r="AN52" s="26"/>
      <c r="AO52" s="1"/>
      <c r="AP52" s="1"/>
      <c r="AQ52" s="1"/>
      <c r="AR52" s="1"/>
      <c r="AS52" s="1"/>
      <c r="AT52" s="1"/>
      <c r="AU52" s="1"/>
      <c r="AV52" s="1"/>
      <c r="AW52" s="1"/>
      <c r="AX52" s="4"/>
      <c r="AZ52" s="154"/>
      <c r="BA52" s="1"/>
      <c r="BB52" s="1"/>
      <c r="BC52" s="1"/>
      <c r="BD52" s="1"/>
      <c r="BE52" s="26"/>
      <c r="BF52" s="26"/>
      <c r="BG52" s="26"/>
      <c r="BH52" s="1"/>
      <c r="BI52" s="1"/>
      <c r="BJ52" s="1"/>
      <c r="BK52" s="1"/>
      <c r="BL52" s="1"/>
      <c r="BM52" s="1"/>
      <c r="BN52" s="1"/>
      <c r="BO52" s="1"/>
      <c r="BP52" s="1"/>
      <c r="BQ52" s="4"/>
      <c r="BS52" s="154"/>
      <c r="BT52" s="1"/>
      <c r="BU52" s="1"/>
      <c r="BV52" s="1"/>
      <c r="BW52" s="1"/>
      <c r="BX52" s="26"/>
      <c r="BY52" s="26"/>
      <c r="BZ52" s="26"/>
      <c r="CA52" s="1"/>
      <c r="CB52" s="1"/>
      <c r="CC52" s="1"/>
      <c r="CD52" s="1"/>
      <c r="CE52" s="1"/>
      <c r="CF52" s="1"/>
      <c r="CG52" s="1"/>
      <c r="CH52" s="1"/>
      <c r="CI52" s="1"/>
      <c r="CJ52" s="4"/>
      <c r="CL52" s="154"/>
      <c r="CM52" s="1"/>
      <c r="CN52" s="1"/>
      <c r="CO52" s="1"/>
      <c r="CP52" s="1"/>
      <c r="CQ52" s="26"/>
      <c r="CR52" s="26"/>
      <c r="CS52" s="26"/>
      <c r="CT52" s="1"/>
      <c r="CU52" s="1"/>
      <c r="CV52" s="1"/>
      <c r="CW52" s="1"/>
      <c r="CX52" s="1"/>
      <c r="CY52" s="1"/>
      <c r="CZ52" s="1"/>
      <c r="DA52" s="1"/>
      <c r="DB52" s="1"/>
      <c r="DC52" s="4"/>
    </row>
    <row r="53" spans="14:107" x14ac:dyDescent="0.2">
      <c r="N53" s="154"/>
      <c r="O53" s="178" t="s">
        <v>2</v>
      </c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80"/>
      <c r="AG53" s="154"/>
      <c r="AH53" s="196" t="s">
        <v>2</v>
      </c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8"/>
      <c r="AZ53" s="154"/>
      <c r="BA53" s="196" t="s">
        <v>2</v>
      </c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8"/>
      <c r="BS53" s="154"/>
      <c r="BT53" s="196" t="s">
        <v>2</v>
      </c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197"/>
      <c r="CJ53" s="198"/>
      <c r="CL53" s="154"/>
      <c r="CM53" s="196" t="s">
        <v>2</v>
      </c>
      <c r="CN53" s="197"/>
      <c r="CO53" s="197"/>
      <c r="CP53" s="197"/>
      <c r="CQ53" s="197"/>
      <c r="CR53" s="197"/>
      <c r="CS53" s="197"/>
      <c r="CT53" s="197"/>
      <c r="CU53" s="197"/>
      <c r="CV53" s="197"/>
      <c r="CW53" s="197"/>
      <c r="CX53" s="197"/>
      <c r="CY53" s="197"/>
      <c r="CZ53" s="197"/>
      <c r="DA53" s="197"/>
      <c r="DB53" s="197"/>
      <c r="DC53" s="198"/>
    </row>
    <row r="54" spans="14:107" x14ac:dyDescent="0.2">
      <c r="N54" s="154"/>
      <c r="O54" s="158" t="s">
        <v>10</v>
      </c>
      <c r="P54" s="18" t="s">
        <v>3</v>
      </c>
      <c r="Q54" s="18" t="s">
        <v>5</v>
      </c>
      <c r="R54" s="19" t="s">
        <v>4</v>
      </c>
      <c r="S54" s="181" t="s">
        <v>11</v>
      </c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82"/>
      <c r="AG54" s="154"/>
      <c r="AH54" s="158" t="s">
        <v>10</v>
      </c>
      <c r="AI54" s="18" t="s">
        <v>3</v>
      </c>
      <c r="AJ54" s="18" t="s">
        <v>5</v>
      </c>
      <c r="AK54" s="19" t="s">
        <v>4</v>
      </c>
      <c r="AL54" s="181" t="s">
        <v>11</v>
      </c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82"/>
      <c r="AZ54" s="154"/>
      <c r="BA54" s="158" t="s">
        <v>10</v>
      </c>
      <c r="BB54" s="18" t="s">
        <v>3</v>
      </c>
      <c r="BC54" s="18" t="s">
        <v>5</v>
      </c>
      <c r="BD54" s="19" t="s">
        <v>4</v>
      </c>
      <c r="BE54" s="181" t="s">
        <v>11</v>
      </c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82"/>
      <c r="BS54" s="154"/>
      <c r="BT54" s="158" t="s">
        <v>10</v>
      </c>
      <c r="BU54" s="18" t="s">
        <v>3</v>
      </c>
      <c r="BV54" s="18" t="s">
        <v>5</v>
      </c>
      <c r="BW54" s="19" t="s">
        <v>4</v>
      </c>
      <c r="BX54" s="181" t="s">
        <v>11</v>
      </c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82"/>
      <c r="CL54" s="154"/>
      <c r="CM54" s="158" t="s">
        <v>10</v>
      </c>
      <c r="CN54" s="18" t="s">
        <v>3</v>
      </c>
      <c r="CO54" s="18" t="s">
        <v>5</v>
      </c>
      <c r="CP54" s="19" t="s">
        <v>4</v>
      </c>
      <c r="CQ54" s="181" t="s">
        <v>11</v>
      </c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82"/>
    </row>
    <row r="55" spans="14:107" x14ac:dyDescent="0.2">
      <c r="N55" s="154"/>
      <c r="O55" s="166"/>
      <c r="P55" s="139" t="s">
        <v>12</v>
      </c>
      <c r="Q55" s="139"/>
      <c r="R55" s="185"/>
      <c r="S55" s="51">
        <v>125</v>
      </c>
      <c r="T55" s="51">
        <v>126</v>
      </c>
      <c r="U55" s="51">
        <v>128</v>
      </c>
      <c r="V55" s="51">
        <v>129</v>
      </c>
      <c r="W55" s="51">
        <v>131</v>
      </c>
      <c r="X55" s="89">
        <v>134</v>
      </c>
      <c r="Y55" s="51">
        <v>137</v>
      </c>
      <c r="Z55" s="51">
        <v>138</v>
      </c>
      <c r="AA55" s="51">
        <v>116</v>
      </c>
      <c r="AB55" s="51">
        <v>119</v>
      </c>
      <c r="AC55" s="51">
        <v>120</v>
      </c>
      <c r="AD55" s="51">
        <v>121</v>
      </c>
      <c r="AE55" s="51">
        <v>135</v>
      </c>
      <c r="AG55" s="154"/>
      <c r="AH55" s="166"/>
      <c r="AI55" s="139" t="s">
        <v>12</v>
      </c>
      <c r="AJ55" s="139"/>
      <c r="AK55" s="185"/>
      <c r="AL55" s="51">
        <v>125</v>
      </c>
      <c r="AM55" s="51">
        <v>126</v>
      </c>
      <c r="AN55" s="51">
        <v>128</v>
      </c>
      <c r="AO55" s="51">
        <v>129</v>
      </c>
      <c r="AP55" s="51">
        <v>131</v>
      </c>
      <c r="AQ55" s="51">
        <v>134</v>
      </c>
      <c r="AR55" s="51">
        <v>137</v>
      </c>
      <c r="AS55" s="51">
        <v>138</v>
      </c>
      <c r="AT55" s="51">
        <v>116</v>
      </c>
      <c r="AU55" s="51">
        <v>119</v>
      </c>
      <c r="AV55" s="51">
        <v>120</v>
      </c>
      <c r="AW55" s="51">
        <v>121</v>
      </c>
      <c r="AX55" s="51">
        <v>135</v>
      </c>
      <c r="AZ55" s="154"/>
      <c r="BA55" s="166"/>
      <c r="BB55" s="139" t="s">
        <v>12</v>
      </c>
      <c r="BC55" s="139"/>
      <c r="BD55" s="185"/>
      <c r="BE55" s="51">
        <v>125</v>
      </c>
      <c r="BF55" s="51">
        <v>126</v>
      </c>
      <c r="BG55" s="51">
        <v>128</v>
      </c>
      <c r="BH55" s="51">
        <v>129</v>
      </c>
      <c r="BI55" s="51">
        <v>131</v>
      </c>
      <c r="BJ55" s="51">
        <v>134</v>
      </c>
      <c r="BK55" s="51">
        <v>137</v>
      </c>
      <c r="BL55" s="51">
        <v>138</v>
      </c>
      <c r="BM55" s="51">
        <v>116</v>
      </c>
      <c r="BN55" s="51">
        <v>119</v>
      </c>
      <c r="BO55" s="51">
        <v>120</v>
      </c>
      <c r="BP55" s="51">
        <v>121</v>
      </c>
      <c r="BQ55" s="51">
        <v>135</v>
      </c>
      <c r="BS55" s="154"/>
      <c r="BT55" s="166"/>
      <c r="BU55" s="139" t="s">
        <v>12</v>
      </c>
      <c r="BV55" s="139"/>
      <c r="BW55" s="185"/>
      <c r="BX55" s="51">
        <v>125</v>
      </c>
      <c r="BY55" s="51">
        <v>126</v>
      </c>
      <c r="BZ55" s="51">
        <v>128</v>
      </c>
      <c r="CA55" s="51">
        <v>129</v>
      </c>
      <c r="CB55" s="51">
        <v>131</v>
      </c>
      <c r="CC55" s="51">
        <v>134</v>
      </c>
      <c r="CD55" s="51">
        <v>137</v>
      </c>
      <c r="CE55" s="51">
        <v>138</v>
      </c>
      <c r="CF55" s="51">
        <v>116</v>
      </c>
      <c r="CG55" s="51">
        <v>119</v>
      </c>
      <c r="CH55" s="51">
        <v>120</v>
      </c>
      <c r="CI55" s="51">
        <v>121</v>
      </c>
      <c r="CJ55" s="51">
        <v>135</v>
      </c>
      <c r="CL55" s="154"/>
      <c r="CM55" s="166"/>
      <c r="CN55" s="139" t="s">
        <v>12</v>
      </c>
      <c r="CO55" s="139"/>
      <c r="CP55" s="185"/>
      <c r="CQ55" s="51">
        <v>125</v>
      </c>
      <c r="CR55" s="51">
        <v>126</v>
      </c>
      <c r="CS55" s="51">
        <v>128</v>
      </c>
      <c r="CT55" s="51">
        <v>129</v>
      </c>
      <c r="CU55" s="51">
        <v>131</v>
      </c>
      <c r="CV55" s="51">
        <v>134</v>
      </c>
      <c r="CW55" s="51">
        <v>137</v>
      </c>
      <c r="CX55" s="51">
        <v>138</v>
      </c>
      <c r="CY55" s="51">
        <v>116</v>
      </c>
      <c r="CZ55" s="51">
        <v>119</v>
      </c>
      <c r="DA55" s="51">
        <v>120</v>
      </c>
      <c r="DB55" s="51">
        <v>121</v>
      </c>
      <c r="DC55" s="51">
        <v>135</v>
      </c>
    </row>
    <row r="56" spans="14:107" x14ac:dyDescent="0.2">
      <c r="N56" s="154"/>
      <c r="O56" s="71">
        <v>1.05</v>
      </c>
      <c r="P56" s="20"/>
      <c r="Q56" s="20"/>
      <c r="R56" s="75">
        <f>COUNT(S56:AE56)</f>
        <v>0</v>
      </c>
      <c r="S56" s="24"/>
      <c r="T56" s="24"/>
      <c r="U56" s="24"/>
      <c r="V56" s="24"/>
      <c r="W56" s="24"/>
      <c r="X56" s="90"/>
      <c r="Y56" s="24"/>
      <c r="Z56" s="24"/>
      <c r="AA56" s="24"/>
      <c r="AB56" s="24"/>
      <c r="AC56" s="24"/>
      <c r="AD56" s="24"/>
      <c r="AE56" s="25"/>
      <c r="AG56" s="154"/>
      <c r="AH56" s="71">
        <v>1.05</v>
      </c>
      <c r="AI56" s="20"/>
      <c r="AJ56" s="20"/>
      <c r="AK56" s="75">
        <f>COUNT(AL56:AX56)</f>
        <v>0</v>
      </c>
      <c r="AL56" s="60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5"/>
      <c r="AZ56" s="154"/>
      <c r="BA56" s="71">
        <v>1.05</v>
      </c>
      <c r="BB56" s="20"/>
      <c r="BC56" s="20"/>
      <c r="BD56" s="75">
        <f>COUNT(BE56:BQ56)</f>
        <v>0</v>
      </c>
      <c r="BE56" s="60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5"/>
      <c r="BS56" s="154"/>
      <c r="BT56" s="71">
        <v>1.05</v>
      </c>
      <c r="BU56" s="20"/>
      <c r="BV56" s="20"/>
      <c r="BW56" s="75"/>
      <c r="BX56" s="60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5"/>
      <c r="CL56" s="154"/>
      <c r="CM56" s="5">
        <v>1.05</v>
      </c>
      <c r="CN56" s="65"/>
      <c r="CO56" s="20"/>
      <c r="CP56" s="75">
        <f>COUNT(CQ56:DC56)</f>
        <v>0</v>
      </c>
      <c r="CQ56" s="60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5"/>
    </row>
    <row r="57" spans="14:107" x14ac:dyDescent="0.2">
      <c r="N57" s="154"/>
      <c r="O57" s="72">
        <v>2.79</v>
      </c>
      <c r="P57" s="21">
        <f t="shared" ref="P57:P62" si="88">AVERAGE(S57:AE57)</f>
        <v>80.697943793402672</v>
      </c>
      <c r="Q57" s="21">
        <f t="shared" ref="Q57:Q62" si="89">STDEV(S57:AE57)</f>
        <v>59.14196187534359</v>
      </c>
      <c r="R57" s="64">
        <f t="shared" ref="R57:R62" si="90">COUNT(S57:AE57)</f>
        <v>9</v>
      </c>
      <c r="S57" s="26">
        <v>34.947490692138601</v>
      </c>
      <c r="T57" s="26">
        <v>44.640205383300703</v>
      </c>
      <c r="U57" s="26">
        <v>198.246337890625</v>
      </c>
      <c r="V57" s="26">
        <v>55.964710235595703</v>
      </c>
      <c r="W57" s="26">
        <v>106.08473205566401</v>
      </c>
      <c r="X57" s="91">
        <v>48.922435760497997</v>
      </c>
      <c r="Y57" s="26"/>
      <c r="Z57" s="26">
        <v>24.0011596679687</v>
      </c>
      <c r="AA57" s="26">
        <v>62.382015228271399</v>
      </c>
      <c r="AB57" s="26"/>
      <c r="AC57" s="26"/>
      <c r="AD57" s="26"/>
      <c r="AE57" s="15">
        <v>151.09240722656199</v>
      </c>
      <c r="AG57" s="154"/>
      <c r="AH57" s="72">
        <v>2.79</v>
      </c>
      <c r="AI57" s="21">
        <f t="shared" ref="AI57:AI62" si="91">AVERAGE(AL57:AX57)</f>
        <v>72.711224009195845</v>
      </c>
      <c r="AJ57" s="21">
        <f t="shared" ref="AJ57:AJ62" si="92">STDEV(AL57:AX57)</f>
        <v>55.9797207233403</v>
      </c>
      <c r="AK57" s="64">
        <f t="shared" ref="AK57:AK62" si="93">COUNT(AL57:AX57)</f>
        <v>9</v>
      </c>
      <c r="AL57" s="30">
        <v>30.836772918701101</v>
      </c>
      <c r="AM57" s="26">
        <v>40.820014953613203</v>
      </c>
      <c r="AN57" s="26">
        <v>188.68153366088799</v>
      </c>
      <c r="AO57" s="26">
        <v>48.665515899658203</v>
      </c>
      <c r="AP57" s="26">
        <v>93.054946899414006</v>
      </c>
      <c r="AQ57" s="26">
        <v>40.566112518310497</v>
      </c>
      <c r="AR57" s="26"/>
      <c r="AS57" s="26">
        <v>19.0396118164062</v>
      </c>
      <c r="AT57" s="26">
        <v>58.785823822021399</v>
      </c>
      <c r="AU57" s="26"/>
      <c r="AV57" s="26"/>
      <c r="AW57" s="26"/>
      <c r="AX57" s="15">
        <v>133.95068359375</v>
      </c>
      <c r="AZ57" s="154"/>
      <c r="BA57" s="72">
        <v>2.79</v>
      </c>
      <c r="BB57" s="21">
        <f t="shared" ref="BB57:BB62" si="94">AVERAGE(BE57:BQ57)</f>
        <v>21.274477852715332</v>
      </c>
      <c r="BC57" s="21">
        <f t="shared" ref="BC57:BC62" si="95">STDEV(BE57:BQ57)</f>
        <v>12.111679532848209</v>
      </c>
      <c r="BD57" s="64">
        <f t="shared" ref="BD57:BD62" si="96">COUNT(BE57:BQ57)</f>
        <v>9</v>
      </c>
      <c r="BE57" s="30">
        <v>16.016860961913999</v>
      </c>
      <c r="BF57" s="26">
        <v>20.617641448974599</v>
      </c>
      <c r="BG57" s="26">
        <v>10.1566610336303</v>
      </c>
      <c r="BH57" s="26">
        <v>11.5001888275146</v>
      </c>
      <c r="BI57" s="26">
        <v>14.5344896316528</v>
      </c>
      <c r="BJ57" s="26">
        <v>43.285636901855398</v>
      </c>
      <c r="BK57" s="26"/>
      <c r="BL57" s="26">
        <v>16.024421691894499</v>
      </c>
      <c r="BM57" s="26">
        <v>40.343540191650298</v>
      </c>
      <c r="BN57" s="26"/>
      <c r="BO57" s="26"/>
      <c r="BP57" s="26"/>
      <c r="BQ57" s="15">
        <v>18.990859985351499</v>
      </c>
      <c r="BS57" s="154"/>
      <c r="BT57" s="72">
        <v>2.79</v>
      </c>
      <c r="BU57" s="21"/>
      <c r="BV57" s="21"/>
      <c r="BW57" s="64"/>
      <c r="BX57" s="30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15"/>
      <c r="CL57" s="154"/>
      <c r="CM57" s="14">
        <v>2.79</v>
      </c>
      <c r="CN57" s="67">
        <f t="shared" ref="CN57:CN62" si="97">AVERAGE(CQ57:DC57)</f>
        <v>20.158924743348535</v>
      </c>
      <c r="CO57" s="21">
        <f t="shared" ref="CO57:CO62" si="98">STDEV(CQ57:DC57)</f>
        <v>6.8484303836725076</v>
      </c>
      <c r="CP57" s="64">
        <f t="shared" ref="CP57:CP62" si="99">COUNT(CQ57:DC57)</f>
        <v>9</v>
      </c>
      <c r="CQ57" s="30">
        <v>17.261356741619402</v>
      </c>
      <c r="CR57" s="26">
        <v>29.565393328534402</v>
      </c>
      <c r="CS57" s="26">
        <v>13.3923271455179</v>
      </c>
      <c r="CT57" s="26">
        <v>8.5060126985398092</v>
      </c>
      <c r="CU57" s="26">
        <v>16.329564872175801</v>
      </c>
      <c r="CV57" s="26">
        <v>21.458257030078101</v>
      </c>
      <c r="CW57" s="26"/>
      <c r="CX57" s="26">
        <v>23.072359776604099</v>
      </c>
      <c r="CY57" s="26">
        <v>27.5770167733479</v>
      </c>
      <c r="CZ57" s="26"/>
      <c r="DA57" s="26"/>
      <c r="DB57" s="26"/>
      <c r="DC57" s="15">
        <v>24.268034323719402</v>
      </c>
    </row>
    <row r="58" spans="14:107" x14ac:dyDescent="0.2">
      <c r="N58" s="154"/>
      <c r="O58" s="72">
        <v>5.35</v>
      </c>
      <c r="P58" s="21">
        <f t="shared" si="88"/>
        <v>88.694318008422783</v>
      </c>
      <c r="Q58" s="21">
        <f t="shared" si="89"/>
        <v>68.355349023871184</v>
      </c>
      <c r="R58" s="64">
        <f t="shared" si="90"/>
        <v>10</v>
      </c>
      <c r="S58" s="26">
        <v>41.295146942138601</v>
      </c>
      <c r="T58" s="26">
        <v>54.833076477050703</v>
      </c>
      <c r="U58" s="26">
        <v>232.548095703125</v>
      </c>
      <c r="V58" s="26">
        <v>67.256210327148395</v>
      </c>
      <c r="W58" s="26">
        <v>123.35768127441401</v>
      </c>
      <c r="X58" s="91">
        <v>52.401439666747997</v>
      </c>
      <c r="Y58" s="26">
        <v>26.445377349853501</v>
      </c>
      <c r="Z58" s="26">
        <v>29.0670776367187</v>
      </c>
      <c r="AA58" s="26">
        <v>84.232604980468693</v>
      </c>
      <c r="AB58" s="26"/>
      <c r="AC58" s="26"/>
      <c r="AD58" s="26"/>
      <c r="AE58" s="15">
        <v>175.50646972656199</v>
      </c>
      <c r="AG58" s="154"/>
      <c r="AH58" s="72">
        <v>5.35</v>
      </c>
      <c r="AI58" s="21">
        <f t="shared" si="91"/>
        <v>80.780927263259812</v>
      </c>
      <c r="AJ58" s="21">
        <f t="shared" si="92"/>
        <v>65.46784927263738</v>
      </c>
      <c r="AK58" s="64">
        <f t="shared" si="93"/>
        <v>10</v>
      </c>
      <c r="AL58" s="30">
        <v>36.863384246826101</v>
      </c>
      <c r="AM58" s="26">
        <v>50.276191711425703</v>
      </c>
      <c r="AN58" s="26">
        <v>218.541748046875</v>
      </c>
      <c r="AO58" s="26">
        <v>60.748645553588801</v>
      </c>
      <c r="AP58" s="26">
        <v>115.58607482910099</v>
      </c>
      <c r="AQ58" s="26">
        <v>38.273021793365402</v>
      </c>
      <c r="AR58" s="26">
        <v>21.320255279541001</v>
      </c>
      <c r="AS58" s="26">
        <v>24.2691040039062</v>
      </c>
      <c r="AT58" s="26">
        <v>79.985778808593693</v>
      </c>
      <c r="AU58" s="26"/>
      <c r="AV58" s="26"/>
      <c r="AW58" s="26"/>
      <c r="AX58" s="15">
        <v>161.945068359375</v>
      </c>
      <c r="AZ58" s="154"/>
      <c r="BA58" s="72">
        <v>5.35</v>
      </c>
      <c r="BB58" s="21">
        <f t="shared" si="94"/>
        <v>16.310913276672331</v>
      </c>
      <c r="BC58" s="21">
        <f t="shared" si="95"/>
        <v>8.1628077017545415</v>
      </c>
      <c r="BD58" s="64">
        <f t="shared" si="96"/>
        <v>10</v>
      </c>
      <c r="BE58" s="30">
        <v>15.3826370239257</v>
      </c>
      <c r="BF58" s="26">
        <v>23.770875930786101</v>
      </c>
      <c r="BG58" s="26">
        <v>9.5717601776122994</v>
      </c>
      <c r="BH58" s="26">
        <v>7.4623842239379803</v>
      </c>
      <c r="BI58" s="26">
        <v>15.123709678649901</v>
      </c>
      <c r="BJ58" s="26">
        <v>14.3133115768432</v>
      </c>
      <c r="BK58" s="26">
        <v>13.9386730194091</v>
      </c>
      <c r="BL58" s="26">
        <v>10.3619394302368</v>
      </c>
      <c r="BM58" s="26">
        <v>35.581958770751903</v>
      </c>
      <c r="BN58" s="26"/>
      <c r="BO58" s="26"/>
      <c r="BP58" s="26"/>
      <c r="BQ58" s="15">
        <v>17.601882934570298</v>
      </c>
      <c r="BS58" s="154"/>
      <c r="BT58" s="72">
        <v>5.35</v>
      </c>
      <c r="BU58" s="21"/>
      <c r="BV58" s="21"/>
      <c r="BW58" s="64"/>
      <c r="BX58" s="30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15"/>
      <c r="CL58" s="154"/>
      <c r="CM58" s="14">
        <v>5.35</v>
      </c>
      <c r="CN58" s="67">
        <f t="shared" si="97"/>
        <v>22.410227867530264</v>
      </c>
      <c r="CO58" s="21">
        <f t="shared" si="98"/>
        <v>8.8273639177524448</v>
      </c>
      <c r="CP58" s="64">
        <f t="shared" si="99"/>
        <v>10</v>
      </c>
      <c r="CQ58" s="30">
        <v>17.7802241006389</v>
      </c>
      <c r="CR58" s="26">
        <v>32.700124602538303</v>
      </c>
      <c r="CS58" s="26">
        <v>13.0724033913942</v>
      </c>
      <c r="CT58" s="26">
        <v>8.1977386224430493</v>
      </c>
      <c r="CU58" s="26">
        <v>18.722163517651499</v>
      </c>
      <c r="CV58" s="26">
        <v>22.568197533632699</v>
      </c>
      <c r="CW58" s="26">
        <v>29.2837486677969</v>
      </c>
      <c r="CX58" s="26">
        <v>36.3409319795079</v>
      </c>
      <c r="CY58" s="26">
        <v>18.867011544401301</v>
      </c>
      <c r="CZ58" s="26"/>
      <c r="DA58" s="26"/>
      <c r="DB58" s="26"/>
      <c r="DC58" s="15">
        <v>26.569734715297901</v>
      </c>
    </row>
    <row r="59" spans="14:107" x14ac:dyDescent="0.2">
      <c r="N59" s="154"/>
      <c r="O59" s="72">
        <v>10</v>
      </c>
      <c r="P59" s="21">
        <f t="shared" si="88"/>
        <v>101.27576475877017</v>
      </c>
      <c r="Q59" s="21">
        <f t="shared" si="89"/>
        <v>88.152648957559663</v>
      </c>
      <c r="R59" s="64">
        <f t="shared" si="90"/>
        <v>13</v>
      </c>
      <c r="S59" s="26">
        <v>52.952857971191399</v>
      </c>
      <c r="T59" s="26">
        <v>75.646064758300696</v>
      </c>
      <c r="U59" s="26">
        <v>321.049072265625</v>
      </c>
      <c r="V59" s="26">
        <v>84.529159545898395</v>
      </c>
      <c r="W59" s="26">
        <v>154.60768127441401</v>
      </c>
      <c r="X59" s="91">
        <v>68.270576477050696</v>
      </c>
      <c r="Y59" s="26">
        <v>33.464420318603501</v>
      </c>
      <c r="Z59" s="26">
        <v>40.9078979492187</v>
      </c>
      <c r="AA59" s="26">
        <v>114.07878112792901</v>
      </c>
      <c r="AB59" s="26">
        <v>57.646797180175703</v>
      </c>
      <c r="AC59" s="26">
        <v>24.735324859619102</v>
      </c>
      <c r="AD59" s="26">
        <v>49.835361480712798</v>
      </c>
      <c r="AE59" s="15">
        <v>238.86094665527301</v>
      </c>
      <c r="AG59" s="154"/>
      <c r="AH59" s="72">
        <v>10</v>
      </c>
      <c r="AI59" s="21">
        <f t="shared" si="91"/>
        <v>93.068884092477433</v>
      </c>
      <c r="AJ59" s="21">
        <f t="shared" si="92"/>
        <v>83.289088454029368</v>
      </c>
      <c r="AK59" s="64">
        <f t="shared" si="93"/>
        <v>13</v>
      </c>
      <c r="AL59" s="30">
        <v>47.661113739013601</v>
      </c>
      <c r="AM59" s="26">
        <v>70.033882141113196</v>
      </c>
      <c r="AN59" s="26">
        <v>302.48645019531199</v>
      </c>
      <c r="AO59" s="26">
        <v>76.621444702148395</v>
      </c>
      <c r="AP59" s="26">
        <v>144.94886779785099</v>
      </c>
      <c r="AQ59" s="26">
        <v>60.968940734863203</v>
      </c>
      <c r="AR59" s="26">
        <v>28.471744537353501</v>
      </c>
      <c r="AS59" s="26">
        <v>34.7518920898437</v>
      </c>
      <c r="AT59" s="26">
        <v>108.87065170288</v>
      </c>
      <c r="AU59" s="26">
        <v>50.409248542785598</v>
      </c>
      <c r="AV59" s="26">
        <v>20.606296539306602</v>
      </c>
      <c r="AW59" s="26">
        <v>45.794834136962798</v>
      </c>
      <c r="AX59" s="15">
        <v>218.27012634277301</v>
      </c>
      <c r="AZ59" s="154"/>
      <c r="BA59" s="72">
        <v>10</v>
      </c>
      <c r="BB59" s="21">
        <f t="shared" si="94"/>
        <v>19.606772862947846</v>
      </c>
      <c r="BC59" s="21">
        <f t="shared" si="95"/>
        <v>8.4579982236217894</v>
      </c>
      <c r="BD59" s="64">
        <f t="shared" si="96"/>
        <v>13</v>
      </c>
      <c r="BE59" s="30">
        <v>16.4706115722656</v>
      </c>
      <c r="BF59" s="26">
        <v>23.290512084960898</v>
      </c>
      <c r="BG59" s="26">
        <v>9.2692728042602504</v>
      </c>
      <c r="BH59" s="26">
        <v>12.006765365600501</v>
      </c>
      <c r="BI59" s="26">
        <v>15.1662473678588</v>
      </c>
      <c r="BJ59" s="26">
        <v>24.266138076782202</v>
      </c>
      <c r="BK59" s="26">
        <v>34.295215606689403</v>
      </c>
      <c r="BL59" s="26">
        <v>14.845908164978001</v>
      </c>
      <c r="BM59" s="26">
        <v>37.494152069091697</v>
      </c>
      <c r="BN59" s="26">
        <v>21.8343086242675</v>
      </c>
      <c r="BO59" s="26">
        <v>12.735860824584901</v>
      </c>
      <c r="BP59" s="26">
        <v>16.133991241455</v>
      </c>
      <c r="BQ59" s="15">
        <v>17.079063415527301</v>
      </c>
      <c r="BS59" s="154"/>
      <c r="BT59" s="72">
        <v>10</v>
      </c>
      <c r="BU59" s="21"/>
      <c r="BV59" s="21"/>
      <c r="BW59" s="64"/>
      <c r="BX59" s="30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15"/>
      <c r="CL59" s="154"/>
      <c r="CM59" s="14">
        <v>10</v>
      </c>
      <c r="CN59" s="67">
        <f t="shared" si="97"/>
        <v>20.768810272512457</v>
      </c>
      <c r="CO59" s="21">
        <f t="shared" si="98"/>
        <v>9.2124978982153802</v>
      </c>
      <c r="CP59" s="64">
        <f t="shared" si="99"/>
        <v>13</v>
      </c>
      <c r="CQ59" s="30">
        <v>16.8190308873478</v>
      </c>
      <c r="CR59" s="26">
        <v>29.222857128347002</v>
      </c>
      <c r="CS59" s="26">
        <v>13.540367138469399</v>
      </c>
      <c r="CT59" s="26">
        <v>8.9448033632348007</v>
      </c>
      <c r="CU59" s="26">
        <v>22.900959583700399</v>
      </c>
      <c r="CV59" s="26">
        <v>18.4549465472648</v>
      </c>
      <c r="CW59" s="26">
        <v>31.9004045192709</v>
      </c>
      <c r="CX59" s="26">
        <v>35.606807584653303</v>
      </c>
      <c r="CY59" s="26">
        <v>20.372648396066101</v>
      </c>
      <c r="CZ59" s="26">
        <v>24.742011027172801</v>
      </c>
      <c r="DA59" s="26">
        <v>8.3195596610843392</v>
      </c>
      <c r="DB59" s="26">
        <v>9.2990580168193198</v>
      </c>
      <c r="DC59" s="15">
        <v>29.871079689230999</v>
      </c>
    </row>
    <row r="60" spans="14:107" x14ac:dyDescent="0.2">
      <c r="N60" s="154"/>
      <c r="O60" s="73">
        <v>15</v>
      </c>
      <c r="P60" s="21">
        <f t="shared" si="88"/>
        <v>106.44497299194323</v>
      </c>
      <c r="Q60" s="21">
        <f t="shared" si="89"/>
        <v>90.817412966550478</v>
      </c>
      <c r="R60" s="64">
        <f t="shared" si="90"/>
        <v>13</v>
      </c>
      <c r="S60" s="26">
        <v>54.051490783691399</v>
      </c>
      <c r="T60" s="26">
        <v>78.819892883300696</v>
      </c>
      <c r="U60" s="26">
        <v>339.969970703125</v>
      </c>
      <c r="V60" s="26">
        <v>85.078475952148395</v>
      </c>
      <c r="W60" s="26">
        <v>158.63600158691401</v>
      </c>
      <c r="X60" s="91">
        <v>68.819892883300696</v>
      </c>
      <c r="Y60" s="26">
        <v>33.708560943603501</v>
      </c>
      <c r="Z60" s="26">
        <v>42.4948120117187</v>
      </c>
      <c r="AA60" s="26">
        <v>121.95231628417901</v>
      </c>
      <c r="AB60" s="26">
        <v>68.022773742675696</v>
      </c>
      <c r="AC60" s="26">
        <v>31.266086578369102</v>
      </c>
      <c r="AD60" s="26">
        <v>61.859287261962798</v>
      </c>
      <c r="AE60" s="15">
        <v>239.10508728027301</v>
      </c>
      <c r="AG60" s="154"/>
      <c r="AH60" s="73">
        <v>15</v>
      </c>
      <c r="AI60" s="21">
        <f t="shared" si="91"/>
        <v>97.65605163574206</v>
      </c>
      <c r="AJ60" s="21">
        <f t="shared" si="92"/>
        <v>85.615327936090168</v>
      </c>
      <c r="AK60" s="64">
        <f t="shared" si="93"/>
        <v>13</v>
      </c>
      <c r="AL60" s="30">
        <v>48.077983856201101</v>
      </c>
      <c r="AM60" s="26">
        <v>73.370674133300696</v>
      </c>
      <c r="AN60" s="26">
        <v>318.01623535156199</v>
      </c>
      <c r="AO60" s="26">
        <v>74.955795288085895</v>
      </c>
      <c r="AP60" s="26">
        <v>147.99391174316401</v>
      </c>
      <c r="AQ60" s="26">
        <v>62.318428039550703</v>
      </c>
      <c r="AR60" s="26">
        <v>29.584415435791001</v>
      </c>
      <c r="AS60" s="26">
        <v>36.0299682617187</v>
      </c>
      <c r="AT60" s="26">
        <v>115.15910339355401</v>
      </c>
      <c r="AU60" s="26">
        <v>59.606636047363203</v>
      </c>
      <c r="AV60" s="26">
        <v>27.179172515869102</v>
      </c>
      <c r="AW60" s="26">
        <v>56.316684722900298</v>
      </c>
      <c r="AX60" s="15">
        <v>220.91966247558599</v>
      </c>
      <c r="AZ60" s="154"/>
      <c r="BA60" s="73">
        <v>15</v>
      </c>
      <c r="BB60" s="21">
        <f t="shared" si="94"/>
        <v>17.963638158944892</v>
      </c>
      <c r="BC60" s="21">
        <f t="shared" si="95"/>
        <v>6.777728213545096</v>
      </c>
      <c r="BD60" s="64">
        <f t="shared" si="96"/>
        <v>13</v>
      </c>
      <c r="BE60" s="30">
        <v>16.2010593414306</v>
      </c>
      <c r="BF60" s="26">
        <v>22.124433517456001</v>
      </c>
      <c r="BG60" s="26">
        <v>9.1131267547607404</v>
      </c>
      <c r="BH60" s="26">
        <v>9.2580432891845703</v>
      </c>
      <c r="BI60" s="26">
        <v>14.0303335189819</v>
      </c>
      <c r="BJ60" s="26">
        <v>16.8398742675781</v>
      </c>
      <c r="BK60" s="26">
        <v>20.736766815185501</v>
      </c>
      <c r="BL60" s="26">
        <v>14.362606048583901</v>
      </c>
      <c r="BM60" s="26">
        <v>35.938850402832003</v>
      </c>
      <c r="BN60" s="26">
        <v>19.6883525848388</v>
      </c>
      <c r="BO60" s="26">
        <v>15.5324296951293</v>
      </c>
      <c r="BP60" s="26">
        <v>19.529613494873001</v>
      </c>
      <c r="BQ60" s="15">
        <v>20.171806335449201</v>
      </c>
      <c r="BS60" s="154"/>
      <c r="BT60" s="73">
        <v>15</v>
      </c>
      <c r="BU60" s="21"/>
      <c r="BV60" s="21"/>
      <c r="BW60" s="64"/>
      <c r="BX60" s="30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15"/>
      <c r="CL60" s="154"/>
      <c r="CM60" s="31">
        <v>15</v>
      </c>
      <c r="CN60" s="67">
        <f t="shared" si="97"/>
        <v>21.05681573431297</v>
      </c>
      <c r="CO60" s="21">
        <f t="shared" si="98"/>
        <v>9.0722369076326679</v>
      </c>
      <c r="CP60" s="64">
        <f t="shared" si="99"/>
        <v>13</v>
      </c>
      <c r="CQ60" s="30">
        <v>18.4485351447412</v>
      </c>
      <c r="CR60" s="26">
        <v>27.827040587191401</v>
      </c>
      <c r="CS60" s="26">
        <v>13.8135174415913</v>
      </c>
      <c r="CT60" s="26">
        <v>6.4635516049181501</v>
      </c>
      <c r="CU60" s="26">
        <v>19.339561779055401</v>
      </c>
      <c r="CV60" s="26">
        <v>21.0052460650315</v>
      </c>
      <c r="CW60" s="26">
        <v>35.562688264719199</v>
      </c>
      <c r="CX60" s="26">
        <v>33.183307038026399</v>
      </c>
      <c r="CY60" s="26">
        <v>27.7756413784656</v>
      </c>
      <c r="CZ60" s="26">
        <v>23.364015136320401</v>
      </c>
      <c r="DA60" s="26">
        <v>11.457526415693801</v>
      </c>
      <c r="DB60" s="26">
        <v>9.2437345398515696</v>
      </c>
      <c r="DC60" s="15">
        <v>26.254239150462698</v>
      </c>
    </row>
    <row r="61" spans="14:107" x14ac:dyDescent="0.2">
      <c r="N61" s="154"/>
      <c r="O61" s="72">
        <v>20.23</v>
      </c>
      <c r="P61" s="21">
        <f t="shared" si="88"/>
        <v>122.58210945129382</v>
      </c>
      <c r="Q61" s="21">
        <f t="shared" si="89"/>
        <v>112.07478977689077</v>
      </c>
      <c r="R61" s="64">
        <f t="shared" si="90"/>
        <v>6</v>
      </c>
      <c r="S61" s="26"/>
      <c r="T61" s="26"/>
      <c r="U61" s="26">
        <v>342.106201171875</v>
      </c>
      <c r="V61" s="26">
        <v>84.040878295898395</v>
      </c>
      <c r="W61" s="26"/>
      <c r="X61" s="91"/>
      <c r="Y61" s="26"/>
      <c r="Z61" s="26"/>
      <c r="AA61" s="26">
        <v>131.77897644042901</v>
      </c>
      <c r="AB61" s="26">
        <v>75.774238586425696</v>
      </c>
      <c r="AC61" s="26">
        <v>33.951633453369098</v>
      </c>
      <c r="AD61" s="26">
        <v>67.840728759765597</v>
      </c>
      <c r="AE61" s="15"/>
      <c r="AG61" s="154"/>
      <c r="AH61" s="72">
        <v>20.23</v>
      </c>
      <c r="AI61" s="21">
        <f t="shared" si="91"/>
        <v>112.61740872700996</v>
      </c>
      <c r="AJ61" s="21">
        <f t="shared" si="92"/>
        <v>104.33644977278831</v>
      </c>
      <c r="AK61" s="64">
        <f t="shared" si="93"/>
        <v>6</v>
      </c>
      <c r="AL61" s="30"/>
      <c r="AM61" s="26"/>
      <c r="AN61" s="26">
        <v>315.79638671875</v>
      </c>
      <c r="AO61" s="26">
        <v>74.726303100585895</v>
      </c>
      <c r="AP61" s="26"/>
      <c r="AQ61" s="26"/>
      <c r="AR61" s="26"/>
      <c r="AS61" s="26"/>
      <c r="AT61" s="26">
        <v>126.50065612792901</v>
      </c>
      <c r="AU61" s="26">
        <v>67.950141906738196</v>
      </c>
      <c r="AV61" s="26">
        <v>29.881809234619102</v>
      </c>
      <c r="AW61" s="26">
        <v>60.849155273437503</v>
      </c>
      <c r="AX61" s="15"/>
      <c r="AZ61" s="154"/>
      <c r="BA61" s="72">
        <v>20.23</v>
      </c>
      <c r="BB61" s="21">
        <f t="shared" si="94"/>
        <v>18.769417444864875</v>
      </c>
      <c r="BC61" s="21">
        <f t="shared" si="95"/>
        <v>9.847212420592296</v>
      </c>
      <c r="BD61" s="64">
        <f t="shared" si="96"/>
        <v>6</v>
      </c>
      <c r="BE61" s="30"/>
      <c r="BF61" s="26"/>
      <c r="BG61" s="26">
        <v>9.5857372283935494</v>
      </c>
      <c r="BH61" s="26">
        <v>10.8740215301513</v>
      </c>
      <c r="BI61" s="26"/>
      <c r="BJ61" s="26"/>
      <c r="BK61" s="26"/>
      <c r="BL61" s="26"/>
      <c r="BM61" s="26">
        <v>36.815883636474602</v>
      </c>
      <c r="BN61" s="26">
        <v>21.102989196777301</v>
      </c>
      <c r="BO61" s="26">
        <v>18.011133193969702</v>
      </c>
      <c r="BP61" s="26">
        <v>16.226739883422798</v>
      </c>
      <c r="BQ61" s="15"/>
      <c r="BS61" s="154"/>
      <c r="BT61" s="72">
        <v>20.23</v>
      </c>
      <c r="BU61" s="21"/>
      <c r="BV61" s="21"/>
      <c r="BW61" s="64"/>
      <c r="BX61" s="30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15"/>
      <c r="CL61" s="154"/>
      <c r="CM61" s="14">
        <v>20.23</v>
      </c>
      <c r="CN61" s="67">
        <f t="shared" si="97"/>
        <v>14.458436078446418</v>
      </c>
      <c r="CO61" s="21">
        <f t="shared" si="98"/>
        <v>5.5995677976406508</v>
      </c>
      <c r="CP61" s="64">
        <f t="shared" si="99"/>
        <v>6</v>
      </c>
      <c r="CQ61" s="30"/>
      <c r="CR61" s="26"/>
      <c r="CS61" s="26">
        <v>15.3207155347769</v>
      </c>
      <c r="CT61" s="26">
        <v>7.8441996698676597</v>
      </c>
      <c r="CU61" s="26"/>
      <c r="CV61" s="26"/>
      <c r="CW61" s="26"/>
      <c r="CX61" s="26"/>
      <c r="CY61" s="26">
        <v>20.4231520896228</v>
      </c>
      <c r="CZ61" s="26">
        <v>21.347353437893201</v>
      </c>
      <c r="DA61" s="26">
        <v>12.327496636349499</v>
      </c>
      <c r="DB61" s="26">
        <v>9.4876991021684507</v>
      </c>
      <c r="DC61" s="15"/>
    </row>
    <row r="62" spans="14:107" x14ac:dyDescent="0.2">
      <c r="N62" s="155"/>
      <c r="O62" s="74">
        <v>30.47</v>
      </c>
      <c r="P62" s="22">
        <f t="shared" si="88"/>
        <v>59.595767974853459</v>
      </c>
      <c r="Q62" s="22">
        <f t="shared" si="89"/>
        <v>20.24441376110892</v>
      </c>
      <c r="R62" s="76">
        <f t="shared" si="90"/>
        <v>3</v>
      </c>
      <c r="S62" s="12"/>
      <c r="T62" s="12"/>
      <c r="U62" s="12"/>
      <c r="V62" s="12"/>
      <c r="W62" s="12"/>
      <c r="X62" s="88"/>
      <c r="Y62" s="12"/>
      <c r="Z62" s="12"/>
      <c r="AA62" s="12"/>
      <c r="AB62" s="12">
        <v>72.600410461425696</v>
      </c>
      <c r="AC62" s="12">
        <v>36.270969390869098</v>
      </c>
      <c r="AD62" s="12">
        <v>69.915924072265597</v>
      </c>
      <c r="AE62" s="13"/>
      <c r="AG62" s="155"/>
      <c r="AH62" s="74">
        <v>30.47</v>
      </c>
      <c r="AI62" s="22">
        <f t="shared" si="91"/>
        <v>53.138045946756932</v>
      </c>
      <c r="AJ62" s="22">
        <f t="shared" si="92"/>
        <v>19.048508388948704</v>
      </c>
      <c r="AK62" s="76">
        <f t="shared" si="93"/>
        <v>3</v>
      </c>
      <c r="AL62" s="11"/>
      <c r="AM62" s="12"/>
      <c r="AN62" s="12"/>
      <c r="AO62" s="12"/>
      <c r="AP62" s="12"/>
      <c r="AQ62" s="12"/>
      <c r="AR62" s="12"/>
      <c r="AS62" s="12"/>
      <c r="AT62" s="12"/>
      <c r="AU62" s="12">
        <v>65.917060852050696</v>
      </c>
      <c r="AV62" s="12">
        <v>31.244724273681602</v>
      </c>
      <c r="AW62" s="12">
        <v>62.252352714538503</v>
      </c>
      <c r="AX62" s="13"/>
      <c r="AZ62" s="155"/>
      <c r="BA62" s="74">
        <v>30.47</v>
      </c>
      <c r="BB62" s="22">
        <f t="shared" si="94"/>
        <v>21.513805389404268</v>
      </c>
      <c r="BC62" s="22">
        <f t="shared" si="95"/>
        <v>1.3449214681611039</v>
      </c>
      <c r="BD62" s="76">
        <f t="shared" si="96"/>
        <v>3</v>
      </c>
      <c r="BE62" s="11"/>
      <c r="BF62" s="12"/>
      <c r="BG62" s="12"/>
      <c r="BH62" s="12"/>
      <c r="BI62" s="12"/>
      <c r="BJ62" s="12"/>
      <c r="BK62" s="12"/>
      <c r="BL62" s="12"/>
      <c r="BM62" s="12"/>
      <c r="BN62" s="12">
        <v>21.916986465454102</v>
      </c>
      <c r="BO62" s="12">
        <v>22.611021041870099</v>
      </c>
      <c r="BP62" s="12">
        <v>20.013408660888601</v>
      </c>
      <c r="BQ62" s="13"/>
      <c r="BS62" s="155"/>
      <c r="BT62" s="74">
        <v>30.47</v>
      </c>
      <c r="BU62" s="22"/>
      <c r="BV62" s="22"/>
      <c r="BW62" s="76"/>
      <c r="BX62" s="11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3"/>
      <c r="CL62" s="155"/>
      <c r="CM62" s="8">
        <v>30.47</v>
      </c>
      <c r="CN62" s="69">
        <f t="shared" si="97"/>
        <v>14.642113257531198</v>
      </c>
      <c r="CO62" s="22">
        <f t="shared" si="98"/>
        <v>4.8002014026066417</v>
      </c>
      <c r="CP62" s="76">
        <f t="shared" si="99"/>
        <v>3</v>
      </c>
      <c r="CQ62" s="11"/>
      <c r="CR62" s="12"/>
      <c r="CS62" s="12"/>
      <c r="CT62" s="12"/>
      <c r="CU62" s="12"/>
      <c r="CV62" s="12"/>
      <c r="CW62" s="12"/>
      <c r="CX62" s="12"/>
      <c r="CY62" s="12"/>
      <c r="CZ62" s="12">
        <v>20.006998601104598</v>
      </c>
      <c r="DA62" s="12">
        <v>13.1660857063892</v>
      </c>
      <c r="DB62" s="12">
        <v>10.7532554650998</v>
      </c>
      <c r="DC62" s="13"/>
    </row>
  </sheetData>
  <mergeCells count="133">
    <mergeCell ref="CQ43:CS43"/>
    <mergeCell ref="CN44:CP44"/>
    <mergeCell ref="B1:J1"/>
    <mergeCell ref="F3:J3"/>
    <mergeCell ref="F14:H14"/>
    <mergeCell ref="B2:J2"/>
    <mergeCell ref="B13:H13"/>
    <mergeCell ref="C3:C4"/>
    <mergeCell ref="D3:D4"/>
    <mergeCell ref="E3:E4"/>
    <mergeCell ref="C14:C15"/>
    <mergeCell ref="D14:D15"/>
    <mergeCell ref="E14:E15"/>
    <mergeCell ref="BS1:BS62"/>
    <mergeCell ref="BT1:CJ1"/>
    <mergeCell ref="BT9:CB9"/>
    <mergeCell ref="BT10:BT11"/>
    <mergeCell ref="BX10:CB10"/>
    <mergeCell ref="BU11:BW11"/>
    <mergeCell ref="BT53:CJ53"/>
    <mergeCell ref="BT54:BT55"/>
    <mergeCell ref="BX54:CJ54"/>
    <mergeCell ref="BU55:BW55"/>
    <mergeCell ref="BT20:CD20"/>
    <mergeCell ref="BT21:BT22"/>
    <mergeCell ref="BX21:CD21"/>
    <mergeCell ref="BU22:BW22"/>
    <mergeCell ref="BT31:CE31"/>
    <mergeCell ref="BT32:BT33"/>
    <mergeCell ref="BX32:CE32"/>
    <mergeCell ref="BU33:BW33"/>
    <mergeCell ref="BT42:BZ42"/>
    <mergeCell ref="BT43:BT44"/>
    <mergeCell ref="BX43:BZ43"/>
    <mergeCell ref="BU44:BW44"/>
    <mergeCell ref="CM53:DC53"/>
    <mergeCell ref="CM54:CM55"/>
    <mergeCell ref="CQ54:DC54"/>
    <mergeCell ref="CN55:CP55"/>
    <mergeCell ref="CN22:CP22"/>
    <mergeCell ref="CM31:CX31"/>
    <mergeCell ref="CM32:CM33"/>
    <mergeCell ref="CQ32:CX32"/>
    <mergeCell ref="CN33:CP33"/>
    <mergeCell ref="CM42:CS42"/>
    <mergeCell ref="CL1:CL62"/>
    <mergeCell ref="CM1:DC1"/>
    <mergeCell ref="CM9:CU9"/>
    <mergeCell ref="CM10:CM11"/>
    <mergeCell ref="CQ10:CU10"/>
    <mergeCell ref="CN11:CP11"/>
    <mergeCell ref="CM20:CW20"/>
    <mergeCell ref="CM21:CM22"/>
    <mergeCell ref="CQ21:CW21"/>
    <mergeCell ref="CM43:CM44"/>
    <mergeCell ref="AZ1:AZ62"/>
    <mergeCell ref="BA1:BQ1"/>
    <mergeCell ref="BA9:BI9"/>
    <mergeCell ref="BA10:BA11"/>
    <mergeCell ref="BE10:BI10"/>
    <mergeCell ref="BB11:BD11"/>
    <mergeCell ref="BA20:BK20"/>
    <mergeCell ref="BA21:BA22"/>
    <mergeCell ref="BE21:BK21"/>
    <mergeCell ref="BB22:BD22"/>
    <mergeCell ref="BA53:BQ53"/>
    <mergeCell ref="BA54:BA55"/>
    <mergeCell ref="BE54:BQ54"/>
    <mergeCell ref="BB55:BD55"/>
    <mergeCell ref="BA31:BL31"/>
    <mergeCell ref="BA32:BA33"/>
    <mergeCell ref="BE32:BL32"/>
    <mergeCell ref="BB33:BD33"/>
    <mergeCell ref="BA42:BG42"/>
    <mergeCell ref="BA43:BA44"/>
    <mergeCell ref="BE43:BG43"/>
    <mergeCell ref="BB44:BD44"/>
    <mergeCell ref="AH42:AN42"/>
    <mergeCell ref="AH43:AH44"/>
    <mergeCell ref="AL43:AN43"/>
    <mergeCell ref="AI44:AK44"/>
    <mergeCell ref="AH53:AX53"/>
    <mergeCell ref="AH54:AH55"/>
    <mergeCell ref="AL54:AX54"/>
    <mergeCell ref="AI55:AK55"/>
    <mergeCell ref="AH21:AH22"/>
    <mergeCell ref="AL21:AR21"/>
    <mergeCell ref="AI22:AK22"/>
    <mergeCell ref="AH31:AS31"/>
    <mergeCell ref="AH32:AH33"/>
    <mergeCell ref="AL32:AS32"/>
    <mergeCell ref="AI33:AK33"/>
    <mergeCell ref="AH9:AP9"/>
    <mergeCell ref="AH10:AH11"/>
    <mergeCell ref="AL10:AP10"/>
    <mergeCell ref="AI11:AK11"/>
    <mergeCell ref="AH20:AR20"/>
    <mergeCell ref="O53:AE53"/>
    <mergeCell ref="S54:AE54"/>
    <mergeCell ref="O1:AE1"/>
    <mergeCell ref="AG1:AG62"/>
    <mergeCell ref="AH1:AX1"/>
    <mergeCell ref="O54:O55"/>
    <mergeCell ref="P55:R55"/>
    <mergeCell ref="S10:W10"/>
    <mergeCell ref="O9:W9"/>
    <mergeCell ref="O20:Y20"/>
    <mergeCell ref="S21:Y21"/>
    <mergeCell ref="S32:Z32"/>
    <mergeCell ref="O31:Z31"/>
    <mergeCell ref="O32:O33"/>
    <mergeCell ref="P33:R33"/>
    <mergeCell ref="O42:U42"/>
    <mergeCell ref="O43:O44"/>
    <mergeCell ref="S43:U43"/>
    <mergeCell ref="P44:R44"/>
    <mergeCell ref="I22:J22"/>
    <mergeCell ref="K11:L11"/>
    <mergeCell ref="A1:A23"/>
    <mergeCell ref="B23:L23"/>
    <mergeCell ref="P11:R11"/>
    <mergeCell ref="O21:O22"/>
    <mergeCell ref="P22:R22"/>
    <mergeCell ref="N1:N62"/>
    <mergeCell ref="O3:Y3"/>
    <mergeCell ref="O4:O5"/>
    <mergeCell ref="P4:P5"/>
    <mergeCell ref="Q4:Q5"/>
    <mergeCell ref="R4:R5"/>
    <mergeCell ref="S4:Y4"/>
    <mergeCell ref="O10:O11"/>
    <mergeCell ref="B3:B4"/>
    <mergeCell ref="B14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8 C-G</vt:lpstr>
      <vt:lpstr>Fig 8 Supplement B-H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 Dumitrescu</dc:creator>
  <cp:lastModifiedBy>Adna Dumitrescu</cp:lastModifiedBy>
  <dcterms:created xsi:type="dcterms:W3CDTF">2019-12-06T15:23:32Z</dcterms:created>
  <dcterms:modified xsi:type="dcterms:W3CDTF">2019-12-11T16:36:46Z</dcterms:modified>
</cp:coreProperties>
</file>