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na.dumitrescu/Documents/Wyart_Postdoc/Data/OPSIN_testing_project/Figures/"/>
    </mc:Choice>
  </mc:AlternateContent>
  <xr:revisionPtr revIDLastSave="0" documentId="13_ncr:1_{365FD123-3647-BE41-97D1-A3F46B1C7DC4}" xr6:coauthVersionLast="45" xr6:coauthVersionMax="45" xr10:uidLastSave="{00000000-0000-0000-0000-000000000000}"/>
  <bookViews>
    <workbookView xWindow="1940" yWindow="1740" windowWidth="33640" windowHeight="16940" activeTab="1" xr2:uid="{021A2FD3-35F4-7245-8BCE-D5BC783FBE49}"/>
  </bookViews>
  <sheets>
    <sheet name="Fig 9 B-H" sheetId="17" r:id="rId1"/>
    <sheet name="Fig 9 Supplement A-C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18" l="1"/>
  <c r="N25" i="18"/>
  <c r="O25" i="18"/>
  <c r="M26" i="18"/>
  <c r="N26" i="18"/>
  <c r="O26" i="18"/>
  <c r="M27" i="18"/>
  <c r="N27" i="18"/>
  <c r="O27" i="18"/>
  <c r="M28" i="18"/>
  <c r="N28" i="18"/>
  <c r="O28" i="18"/>
  <c r="M29" i="18"/>
  <c r="N29" i="18"/>
  <c r="O29" i="18"/>
  <c r="M30" i="18"/>
  <c r="N30" i="18"/>
  <c r="O30" i="18"/>
  <c r="M31" i="18"/>
  <c r="N31" i="18"/>
  <c r="O31" i="18"/>
  <c r="O24" i="18"/>
  <c r="N24" i="18"/>
  <c r="M24" i="18"/>
  <c r="L13" i="18"/>
  <c r="M13" i="18"/>
  <c r="N13" i="18"/>
  <c r="L14" i="18"/>
  <c r="M14" i="18"/>
  <c r="N14" i="18"/>
  <c r="L15" i="18"/>
  <c r="M15" i="18"/>
  <c r="N15" i="18"/>
  <c r="L16" i="18"/>
  <c r="M16" i="18"/>
  <c r="N16" i="18"/>
  <c r="L17" i="18"/>
  <c r="M17" i="18"/>
  <c r="N17" i="18"/>
  <c r="L18" i="18"/>
  <c r="M18" i="18"/>
  <c r="N18" i="18"/>
  <c r="L19" i="18"/>
  <c r="M19" i="18"/>
  <c r="N19" i="18"/>
  <c r="N12" i="18"/>
  <c r="M12" i="18"/>
  <c r="L12" i="18"/>
  <c r="AW67" i="18"/>
  <c r="AW66" i="18"/>
  <c r="AV65" i="18"/>
  <c r="AW65" i="18"/>
  <c r="AU65" i="18"/>
  <c r="AW64" i="18"/>
  <c r="AV63" i="18"/>
  <c r="AW63" i="18"/>
  <c r="AW62" i="18"/>
  <c r="AV62" i="18"/>
  <c r="AU62" i="18"/>
  <c r="AW61" i="18"/>
  <c r="AV61" i="18"/>
  <c r="AU61" i="18"/>
  <c r="AW60" i="18"/>
  <c r="AV60" i="18"/>
  <c r="AU60" i="18"/>
  <c r="AW55" i="18"/>
  <c r="AU55" i="18"/>
  <c r="AW54" i="18"/>
  <c r="AU53" i="18"/>
  <c r="AW53" i="18"/>
  <c r="AV53" i="18"/>
  <c r="AW52" i="18"/>
  <c r="AV51" i="18"/>
  <c r="AW51" i="18"/>
  <c r="AW50" i="18"/>
  <c r="AV50" i="18"/>
  <c r="AU50" i="18"/>
  <c r="AW49" i="18"/>
  <c r="AV49" i="18"/>
  <c r="AU49" i="18"/>
  <c r="AW48" i="18"/>
  <c r="AV48" i="18"/>
  <c r="AU48" i="18"/>
  <c r="AW43" i="18"/>
  <c r="AV43" i="18"/>
  <c r="AU43" i="18"/>
  <c r="AW42" i="18"/>
  <c r="AV42" i="18"/>
  <c r="AU42" i="18"/>
  <c r="AW41" i="18"/>
  <c r="AV41" i="18"/>
  <c r="AU41" i="18"/>
  <c r="AW40" i="18"/>
  <c r="AV40" i="18"/>
  <c r="AU40" i="18"/>
  <c r="AW39" i="18"/>
  <c r="AV39" i="18"/>
  <c r="AU39" i="18"/>
  <c r="AW38" i="18"/>
  <c r="AV38" i="18"/>
  <c r="AU38" i="18"/>
  <c r="AW37" i="18"/>
  <c r="AV37" i="18"/>
  <c r="AU37" i="18"/>
  <c r="AW36" i="18"/>
  <c r="AV36" i="18"/>
  <c r="AU36" i="18"/>
  <c r="AW31" i="18"/>
  <c r="AV31" i="18"/>
  <c r="AU31" i="18"/>
  <c r="AW30" i="18"/>
  <c r="AV30" i="18"/>
  <c r="AU30" i="18"/>
  <c r="AW29" i="18"/>
  <c r="AV29" i="18"/>
  <c r="AU29" i="18"/>
  <c r="AW28" i="18"/>
  <c r="AV28" i="18"/>
  <c r="AU28" i="18"/>
  <c r="AW27" i="18"/>
  <c r="AV27" i="18"/>
  <c r="AU27" i="18"/>
  <c r="AW26" i="18"/>
  <c r="AV26" i="18"/>
  <c r="AU26" i="18"/>
  <c r="AW25" i="18"/>
  <c r="AV25" i="18"/>
  <c r="AU25" i="18"/>
  <c r="AW24" i="18"/>
  <c r="AV24" i="18"/>
  <c r="AU24" i="18"/>
  <c r="AW19" i="18"/>
  <c r="AV19" i="18"/>
  <c r="AU19" i="18"/>
  <c r="AW18" i="18"/>
  <c r="AV18" i="18"/>
  <c r="AU18" i="18"/>
  <c r="AW17" i="18"/>
  <c r="AV17" i="18"/>
  <c r="AU17" i="18"/>
  <c r="AW16" i="18"/>
  <c r="AV16" i="18"/>
  <c r="AU16" i="18"/>
  <c r="AW15" i="18"/>
  <c r="AV15" i="18"/>
  <c r="AU15" i="18"/>
  <c r="AW14" i="18"/>
  <c r="AV14" i="18"/>
  <c r="AU14" i="18"/>
  <c r="AW13" i="18"/>
  <c r="AV13" i="18"/>
  <c r="AU13" i="18"/>
  <c r="AW12" i="18"/>
  <c r="AV12" i="18"/>
  <c r="AU12" i="18"/>
  <c r="AF67" i="18"/>
  <c r="AE67" i="18"/>
  <c r="Z67" i="18" s="1"/>
  <c r="AD67" i="18"/>
  <c r="AM66" i="18"/>
  <c r="AL66" i="18"/>
  <c r="AK66" i="18"/>
  <c r="AJ66" i="18"/>
  <c r="AI66" i="18"/>
  <c r="AH66" i="18"/>
  <c r="AG66" i="18"/>
  <c r="AF66" i="18"/>
  <c r="AE66" i="18"/>
  <c r="AD66" i="18"/>
  <c r="AC66" i="18"/>
  <c r="AB66" i="18"/>
  <c r="AQ65" i="18"/>
  <c r="AP65" i="18"/>
  <c r="AO65" i="18"/>
  <c r="AN65" i="18"/>
  <c r="AM65" i="18"/>
  <c r="AL65" i="18"/>
  <c r="AK65" i="18"/>
  <c r="AJ65" i="18"/>
  <c r="AI65" i="18"/>
  <c r="AH65" i="18"/>
  <c r="AG65" i="18"/>
  <c r="AF65" i="18"/>
  <c r="AE65" i="18"/>
  <c r="AD65" i="18"/>
  <c r="AC65" i="18"/>
  <c r="AB65" i="18"/>
  <c r="AQ64" i="18"/>
  <c r="AP64" i="18"/>
  <c r="AO64" i="18"/>
  <c r="AN64" i="18"/>
  <c r="AM64" i="18"/>
  <c r="AL64" i="18"/>
  <c r="AK64" i="18"/>
  <c r="AJ64" i="18"/>
  <c r="AI64" i="18"/>
  <c r="AH64" i="18"/>
  <c r="AG64" i="18"/>
  <c r="AF64" i="18"/>
  <c r="AE64" i="18"/>
  <c r="AD64" i="18"/>
  <c r="AC64" i="18"/>
  <c r="AB64" i="18"/>
  <c r="AQ63" i="18"/>
  <c r="AP63" i="18"/>
  <c r="AO63" i="18"/>
  <c r="AN63" i="18"/>
  <c r="AM63" i="18"/>
  <c r="AK63" i="18"/>
  <c r="AJ63" i="18"/>
  <c r="AI63" i="18"/>
  <c r="AH63" i="18"/>
  <c r="AG63" i="18"/>
  <c r="AC63" i="18"/>
  <c r="AB63" i="18"/>
  <c r="AC55" i="18"/>
  <c r="Z55" i="18" s="1"/>
  <c r="AC54" i="18"/>
  <c r="Z54" i="18" s="1"/>
  <c r="AB54" i="18"/>
  <c r="AC53" i="18"/>
  <c r="AA53" i="18" s="1"/>
  <c r="AB53" i="18"/>
  <c r="AC52" i="18"/>
  <c r="AB52" i="18"/>
  <c r="Y52" i="18" s="1"/>
  <c r="AB51" i="18"/>
  <c r="Z51" i="18" s="1"/>
  <c r="AA62" i="18"/>
  <c r="Z62" i="18"/>
  <c r="Y62" i="18"/>
  <c r="AA61" i="18"/>
  <c r="Z61" i="18"/>
  <c r="Y61" i="18"/>
  <c r="AA60" i="18"/>
  <c r="Z60" i="18"/>
  <c r="Y60" i="18"/>
  <c r="Y55" i="18"/>
  <c r="Z53" i="18"/>
  <c r="AA50" i="18"/>
  <c r="Z50" i="18"/>
  <c r="Y50" i="18"/>
  <c r="AA49" i="18"/>
  <c r="Z49" i="18"/>
  <c r="Y49" i="18"/>
  <c r="AA48" i="18"/>
  <c r="Z48" i="18"/>
  <c r="Y48" i="18"/>
  <c r="AA43" i="18"/>
  <c r="Z43" i="18"/>
  <c r="Y43" i="18"/>
  <c r="AA42" i="18"/>
  <c r="Z42" i="18"/>
  <c r="Y42" i="18"/>
  <c r="AA41" i="18"/>
  <c r="Z41" i="18"/>
  <c r="Y41" i="18"/>
  <c r="AA40" i="18"/>
  <c r="Z40" i="18"/>
  <c r="Y40" i="18"/>
  <c r="AA39" i="18"/>
  <c r="Z39" i="18"/>
  <c r="Y39" i="18"/>
  <c r="AA38" i="18"/>
  <c r="Z38" i="18"/>
  <c r="Y38" i="18"/>
  <c r="AA37" i="18"/>
  <c r="Z37" i="18"/>
  <c r="Y37" i="18"/>
  <c r="AA36" i="18"/>
  <c r="Z36" i="18"/>
  <c r="Y36" i="18"/>
  <c r="AA31" i="18"/>
  <c r="Z31" i="18"/>
  <c r="Y31" i="18"/>
  <c r="AA30" i="18"/>
  <c r="Z30" i="18"/>
  <c r="Y30" i="18"/>
  <c r="AA29" i="18"/>
  <c r="Z29" i="18"/>
  <c r="Y29" i="18"/>
  <c r="AA28" i="18"/>
  <c r="Z28" i="18"/>
  <c r="Y28" i="18"/>
  <c r="AA27" i="18"/>
  <c r="Z27" i="18"/>
  <c r="Y27" i="18"/>
  <c r="AA26" i="18"/>
  <c r="Z26" i="18"/>
  <c r="Y26" i="18"/>
  <c r="AA25" i="18"/>
  <c r="Z25" i="18"/>
  <c r="Y25" i="18"/>
  <c r="AA24" i="18"/>
  <c r="Z24" i="18"/>
  <c r="Y24" i="18"/>
  <c r="AA19" i="18"/>
  <c r="Z19" i="18"/>
  <c r="Y19" i="18"/>
  <c r="AA18" i="18"/>
  <c r="Z18" i="18"/>
  <c r="Y18" i="18"/>
  <c r="AA17" i="18"/>
  <c r="Z17" i="18"/>
  <c r="Y17" i="18"/>
  <c r="AA16" i="18"/>
  <c r="Z16" i="18"/>
  <c r="Y16" i="18"/>
  <c r="AA15" i="18"/>
  <c r="Z15" i="18"/>
  <c r="Y15" i="18"/>
  <c r="AA14" i="18"/>
  <c r="Z14" i="18"/>
  <c r="Y14" i="18"/>
  <c r="AA13" i="18"/>
  <c r="Z13" i="18"/>
  <c r="Y13" i="18"/>
  <c r="AA12" i="18"/>
  <c r="Z12" i="18"/>
  <c r="Y12" i="18"/>
  <c r="C12" i="18"/>
  <c r="D12" i="18"/>
  <c r="C13" i="18"/>
  <c r="D13" i="18"/>
  <c r="C61" i="18"/>
  <c r="D61" i="18"/>
  <c r="E61" i="18"/>
  <c r="C62" i="18"/>
  <c r="D62" i="18"/>
  <c r="E62" i="18"/>
  <c r="E60" i="18"/>
  <c r="D60" i="18"/>
  <c r="C60" i="18"/>
  <c r="P67" i="18"/>
  <c r="J67" i="18"/>
  <c r="I67" i="18"/>
  <c r="H67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U64" i="18"/>
  <c r="T64" i="18"/>
  <c r="S64" i="18"/>
  <c r="R64" i="18"/>
  <c r="Q64" i="18"/>
  <c r="O64" i="18"/>
  <c r="N64" i="18"/>
  <c r="M64" i="18"/>
  <c r="L64" i="18"/>
  <c r="K64" i="18"/>
  <c r="J64" i="18"/>
  <c r="I64" i="18"/>
  <c r="H64" i="18"/>
  <c r="G64" i="18"/>
  <c r="F64" i="18"/>
  <c r="U63" i="18"/>
  <c r="T63" i="18"/>
  <c r="S63" i="18"/>
  <c r="R63" i="18"/>
  <c r="Q63" i="18"/>
  <c r="O63" i="18"/>
  <c r="N63" i="18"/>
  <c r="M63" i="18"/>
  <c r="L63" i="18"/>
  <c r="K63" i="18"/>
  <c r="G63" i="18"/>
  <c r="F63" i="18"/>
  <c r="C49" i="18"/>
  <c r="D49" i="18"/>
  <c r="E49" i="18"/>
  <c r="C50" i="18"/>
  <c r="D50" i="18"/>
  <c r="E50" i="18"/>
  <c r="E55" i="18"/>
  <c r="E48" i="18"/>
  <c r="D48" i="18"/>
  <c r="C48" i="18"/>
  <c r="G55" i="18"/>
  <c r="C55" i="18" s="1"/>
  <c r="G54" i="18"/>
  <c r="F54" i="18"/>
  <c r="C54" i="18" s="1"/>
  <c r="G53" i="18"/>
  <c r="F53" i="18"/>
  <c r="C53" i="18" s="1"/>
  <c r="G52" i="18"/>
  <c r="F52" i="18"/>
  <c r="E52" i="18" s="1"/>
  <c r="F51" i="18"/>
  <c r="D51" i="18" s="1"/>
  <c r="C37" i="18"/>
  <c r="D37" i="18"/>
  <c r="E37" i="18"/>
  <c r="C38" i="18"/>
  <c r="D38" i="18"/>
  <c r="E38" i="18"/>
  <c r="C39" i="18"/>
  <c r="D39" i="18"/>
  <c r="E39" i="18"/>
  <c r="C40" i="18"/>
  <c r="D40" i="18"/>
  <c r="E40" i="18"/>
  <c r="C41" i="18"/>
  <c r="D41" i="18"/>
  <c r="E41" i="18"/>
  <c r="C42" i="18"/>
  <c r="D42" i="18"/>
  <c r="E42" i="18"/>
  <c r="C43" i="18"/>
  <c r="D43" i="18"/>
  <c r="E43" i="18"/>
  <c r="E36" i="18"/>
  <c r="D36" i="18"/>
  <c r="C36" i="18"/>
  <c r="C25" i="18"/>
  <c r="D25" i="18"/>
  <c r="E25" i="18"/>
  <c r="C26" i="18"/>
  <c r="D26" i="18"/>
  <c r="E26" i="18"/>
  <c r="C27" i="18"/>
  <c r="D27" i="18"/>
  <c r="E27" i="18"/>
  <c r="C28" i="18"/>
  <c r="D28" i="18"/>
  <c r="E28" i="18"/>
  <c r="C29" i="18"/>
  <c r="D29" i="18"/>
  <c r="E29" i="18"/>
  <c r="C30" i="18"/>
  <c r="D30" i="18"/>
  <c r="E30" i="18"/>
  <c r="C31" i="18"/>
  <c r="D31" i="18"/>
  <c r="E31" i="18"/>
  <c r="E24" i="18"/>
  <c r="D24" i="18"/>
  <c r="C24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E12" i="18"/>
  <c r="C6" i="18"/>
  <c r="D7" i="18"/>
  <c r="E7" i="18"/>
  <c r="E6" i="18"/>
  <c r="D6" i="18"/>
  <c r="D54" i="18" l="1"/>
  <c r="AA67" i="18"/>
  <c r="AA65" i="18"/>
  <c r="E53" i="18"/>
  <c r="E51" i="18"/>
  <c r="E63" i="18"/>
  <c r="D53" i="18"/>
  <c r="C67" i="18"/>
  <c r="Y67" i="18"/>
  <c r="C51" i="18"/>
  <c r="AA54" i="18"/>
  <c r="E66" i="18"/>
  <c r="E65" i="18"/>
  <c r="C66" i="18"/>
  <c r="C64" i="18"/>
  <c r="D55" i="18"/>
  <c r="D64" i="18"/>
  <c r="D63" i="18"/>
  <c r="D66" i="18"/>
  <c r="C63" i="18"/>
  <c r="D52" i="18"/>
  <c r="D65" i="18"/>
  <c r="AA55" i="18"/>
  <c r="E54" i="18"/>
  <c r="C52" i="18"/>
  <c r="E67" i="18"/>
  <c r="C65" i="18"/>
  <c r="D67" i="18"/>
  <c r="E64" i="18"/>
  <c r="Y53" i="18"/>
  <c r="Z63" i="18"/>
  <c r="AA66" i="18"/>
  <c r="AA64" i="18"/>
  <c r="Y65" i="18"/>
  <c r="AU52" i="18"/>
  <c r="AV55" i="18"/>
  <c r="AU67" i="18"/>
  <c r="AV52" i="18"/>
  <c r="AU66" i="18"/>
  <c r="AV67" i="18"/>
  <c r="AU54" i="18"/>
  <c r="AV66" i="18"/>
  <c r="AV54" i="18"/>
  <c r="AU64" i="18"/>
  <c r="AU51" i="18"/>
  <c r="AU63" i="18"/>
  <c r="AV64" i="18"/>
  <c r="AA63" i="18"/>
  <c r="Z65" i="18"/>
  <c r="AA51" i="18"/>
  <c r="Z52" i="18"/>
  <c r="AA52" i="18"/>
  <c r="Y66" i="18"/>
  <c r="Z66" i="18"/>
  <c r="Y54" i="18"/>
  <c r="Y64" i="18"/>
  <c r="Y51" i="18"/>
  <c r="Y63" i="18"/>
  <c r="Z64" i="18"/>
  <c r="C7" i="18"/>
  <c r="P5" i="17" l="1"/>
  <c r="O5" i="17"/>
  <c r="N5" i="17"/>
  <c r="M5" i="17"/>
  <c r="L5" i="17"/>
  <c r="P4" i="17"/>
  <c r="O4" i="17"/>
  <c r="N4" i="17"/>
  <c r="M4" i="17"/>
  <c r="L4" i="17"/>
  <c r="P3" i="17"/>
  <c r="O3" i="17"/>
  <c r="N3" i="17"/>
  <c r="M3" i="17"/>
  <c r="L3" i="17"/>
  <c r="G51" i="17"/>
  <c r="F51" i="17"/>
  <c r="E51" i="17"/>
  <c r="D51" i="17"/>
  <c r="C51" i="17"/>
  <c r="G50" i="17"/>
  <c r="F50" i="17"/>
  <c r="E50" i="17"/>
  <c r="D50" i="17"/>
  <c r="C50" i="17"/>
  <c r="G49" i="17"/>
  <c r="F49" i="17"/>
  <c r="E49" i="17"/>
  <c r="D49" i="17"/>
  <c r="C49" i="17"/>
  <c r="G29" i="17"/>
  <c r="F29" i="17"/>
  <c r="E29" i="17"/>
  <c r="D29" i="17"/>
  <c r="C29" i="17"/>
  <c r="G28" i="17"/>
  <c r="F28" i="17"/>
  <c r="E28" i="17"/>
  <c r="D28" i="17"/>
  <c r="C28" i="17"/>
  <c r="G27" i="17"/>
  <c r="F27" i="17"/>
  <c r="E27" i="17"/>
  <c r="D27" i="17"/>
  <c r="C27" i="17"/>
  <c r="D4" i="17"/>
  <c r="E4" i="17"/>
  <c r="F4" i="17"/>
  <c r="G4" i="17"/>
  <c r="H4" i="17"/>
  <c r="D5" i="17"/>
  <c r="E5" i="17"/>
  <c r="F5" i="17"/>
  <c r="G5" i="17"/>
  <c r="H5" i="17"/>
  <c r="D6" i="17"/>
  <c r="E6" i="17"/>
  <c r="F6" i="17"/>
  <c r="G6" i="17"/>
  <c r="H6" i="17"/>
  <c r="C6" i="17"/>
  <c r="C5" i="17"/>
  <c r="C4" i="17"/>
</calcChain>
</file>

<file path=xl/sharedStrings.xml><?xml version="1.0" encoding="utf-8"?>
<sst xmlns="http://schemas.openxmlformats.org/spreadsheetml/2006/main" count="176" uniqueCount="38">
  <si>
    <t>Control</t>
  </si>
  <si>
    <t>eArch3.0</t>
  </si>
  <si>
    <t>eNpHR3.0</t>
  </si>
  <si>
    <t>Mean</t>
  </si>
  <si>
    <t>n</t>
  </si>
  <si>
    <t>St Dev</t>
  </si>
  <si>
    <t>Control Cells</t>
  </si>
  <si>
    <t>30 (475 nm)</t>
  </si>
  <si>
    <t>30 (575nm)</t>
  </si>
  <si>
    <t>LED Power mW/mm2</t>
  </si>
  <si>
    <t>Cell ID</t>
  </si>
  <si>
    <t>across irradiance levels</t>
  </si>
  <si>
    <t xml:space="preserve"> Fig 9B</t>
  </si>
  <si>
    <t>Peak membrane voltage deflection level per opsin stimulation - average across all irradiance level stimuli (mV)</t>
  </si>
  <si>
    <t xml:space="preserve"> Fig 9C</t>
  </si>
  <si>
    <t>Steady state membrane voltage deflection level per opsin stimulation - average across all irradiance level stimuli (mV)</t>
  </si>
  <si>
    <t xml:space="preserve"> Fig 9D</t>
  </si>
  <si>
    <t>Voltage deflection deactivation time constant level per opsin stimulation - average across all irradiance level stimuli (ms)</t>
  </si>
  <si>
    <t xml:space="preserve"> Fig 9F</t>
  </si>
  <si>
    <t xml:space="preserve">Percentage of spikes inhibited with a short 5ms opsin light activation </t>
  </si>
  <si>
    <t xml:space="preserve"> Fig 9H</t>
  </si>
  <si>
    <t>irradiance mW/mm2</t>
  </si>
  <si>
    <t xml:space="preserve">Number of spikes per 50ms time bin remaining during long opsin light activation </t>
  </si>
  <si>
    <t>Peak voltage deflection (mV)</t>
  </si>
  <si>
    <t>Fig 9 Sup A</t>
  </si>
  <si>
    <t>Fig 9 Sup B</t>
  </si>
  <si>
    <t>Steady state voltage deflection (mV)</t>
  </si>
  <si>
    <t>Fig 9 Sup C</t>
  </si>
  <si>
    <t>Voltage deflection deactivation time constant (ms)</t>
  </si>
  <si>
    <t>Spike response</t>
  </si>
  <si>
    <t>GtACR1_Larval</t>
  </si>
  <si>
    <t>GtACR2_Embryonic</t>
  </si>
  <si>
    <t>GtACR1_Embryonic</t>
  </si>
  <si>
    <t xml:space="preserve">GtACR2 Embryonic </t>
  </si>
  <si>
    <t xml:space="preserve">GtACR1 Embryonic </t>
  </si>
  <si>
    <t>GtACR1 Larval</t>
  </si>
  <si>
    <t>GtACR1 Embryonic</t>
  </si>
  <si>
    <t>GtACR2 Embryonic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</si>
</sst>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B54FD"/>
        <bgColor indexed="64"/>
      </patternFill>
    </fill>
    <fill>
      <patternFill patternType="solid">
        <fgColor rgb="FF1FC28D"/>
        <bgColor indexed="64"/>
      </patternFill>
    </fill>
    <fill>
      <patternFill patternType="solid">
        <fgColor rgb="FF8AC6AF"/>
        <bgColor indexed="64"/>
      </patternFill>
    </fill>
    <fill>
      <patternFill patternType="solid">
        <fgColor rgb="FFFEA552"/>
        <bgColor indexed="64"/>
      </patternFill>
    </fill>
    <fill>
      <patternFill patternType="solid">
        <fgColor rgb="FFE0455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2" fontId="0" fillId="0" borderId="3" xfId="0" applyNumberFormat="1" applyBorder="1"/>
    <xf numFmtId="2" fontId="0" fillId="0" borderId="1" xfId="0" applyNumberFormat="1" applyBorder="1"/>
    <xf numFmtId="0" fontId="0" fillId="0" borderId="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6" xfId="0" applyFill="1" applyBorder="1"/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0" borderId="0" xfId="0" applyNumberFormat="1" applyFill="1" applyBorder="1"/>
    <xf numFmtId="1" fontId="0" fillId="0" borderId="0" xfId="0" applyNumberFormat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1" fontId="0" fillId="0" borderId="0" xfId="0" applyNumberFormat="1" applyFill="1" applyBorder="1"/>
    <xf numFmtId="0" fontId="0" fillId="0" borderId="5" xfId="0" applyFill="1" applyBorder="1"/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3" fillId="2" borderId="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0" fillId="0" borderId="5" xfId="0" applyBorder="1"/>
    <xf numFmtId="0" fontId="0" fillId="0" borderId="7" xfId="0" applyBorder="1"/>
    <xf numFmtId="0" fontId="4" fillId="0" borderId="0" xfId="0" applyFont="1"/>
    <xf numFmtId="0" fontId="2" fillId="0" borderId="5" xfId="0" applyFont="1" applyBorder="1"/>
    <xf numFmtId="0" fontId="0" fillId="0" borderId="0" xfId="0" applyFill="1" applyBorder="1" applyAlignment="1">
      <alignment vertical="center"/>
    </xf>
    <xf numFmtId="0" fontId="0" fillId="0" borderId="12" xfId="0" applyFill="1" applyBorder="1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11" xfId="0" applyFill="1" applyBorder="1"/>
    <xf numFmtId="0" fontId="0" fillId="0" borderId="2" xfId="0" applyFill="1" applyBorder="1"/>
    <xf numFmtId="1" fontId="0" fillId="0" borderId="14" xfId="0" applyNumberFormat="1" applyBorder="1"/>
    <xf numFmtId="1" fontId="0" fillId="0" borderId="15" xfId="0" applyNumberFormat="1" applyBorder="1"/>
    <xf numFmtId="1" fontId="0" fillId="0" borderId="15" xfId="0" applyNumberFormat="1" applyFill="1" applyBorder="1"/>
    <xf numFmtId="1" fontId="0" fillId="0" borderId="13" xfId="0" applyNumberFormat="1" applyBorder="1"/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5" xfId="0" applyBorder="1"/>
    <xf numFmtId="164" fontId="6" fillId="0" borderId="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2" fillId="0" borderId="3" xfId="0" applyFont="1" applyFill="1" applyBorder="1" applyAlignment="1"/>
    <xf numFmtId="0" fontId="6" fillId="0" borderId="3" xfId="0" applyFont="1" applyBorder="1"/>
    <xf numFmtId="0" fontId="6" fillId="0" borderId="4" xfId="0" applyFont="1" applyBorder="1"/>
    <xf numFmtId="2" fontId="6" fillId="0" borderId="3" xfId="0" applyNumberFormat="1" applyFont="1" applyBorder="1"/>
    <xf numFmtId="2" fontId="6" fillId="0" borderId="4" xfId="0" applyNumberFormat="1" applyFont="1" applyBorder="1"/>
    <xf numFmtId="2" fontId="6" fillId="0" borderId="0" xfId="0" applyNumberFormat="1" applyFont="1" applyBorder="1"/>
    <xf numFmtId="2" fontId="6" fillId="0" borderId="6" xfId="0" applyNumberFormat="1" applyFont="1" applyBorder="1"/>
    <xf numFmtId="2" fontId="6" fillId="0" borderId="1" xfId="0" applyNumberFormat="1" applyFont="1" applyBorder="1"/>
    <xf numFmtId="2" fontId="6" fillId="0" borderId="8" xfId="0" applyNumberFormat="1" applyFont="1" applyBorder="1"/>
    <xf numFmtId="0" fontId="6" fillId="0" borderId="5" xfId="0" applyFont="1" applyBorder="1"/>
    <xf numFmtId="0" fontId="6" fillId="0" borderId="7" xfId="0" applyFont="1" applyBorder="1"/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0" fillId="0" borderId="2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/>
    <xf numFmtId="164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/>
    <xf numFmtId="164" fontId="0" fillId="0" borderId="7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/>
    <xf numFmtId="164" fontId="0" fillId="0" borderId="8" xfId="0" applyNumberFormat="1" applyFill="1" applyBorder="1"/>
    <xf numFmtId="1" fontId="0" fillId="0" borderId="0" xfId="0" applyNumberFormat="1" applyFill="1" applyBorder="1" applyAlignment="1">
      <alignment horizontal="center" vertical="center"/>
    </xf>
    <xf numFmtId="164" fontId="0" fillId="0" borderId="5" xfId="0" applyNumberFormat="1" applyFill="1" applyBorder="1"/>
    <xf numFmtId="164" fontId="0" fillId="0" borderId="0" xfId="0" applyNumberFormat="1" applyFont="1" applyBorder="1"/>
    <xf numFmtId="164" fontId="0" fillId="0" borderId="6" xfId="0" applyNumberFormat="1" applyFont="1" applyBorder="1"/>
    <xf numFmtId="164" fontId="0" fillId="0" borderId="1" xfId="0" applyNumberFormat="1" applyFont="1" applyBorder="1"/>
    <xf numFmtId="164" fontId="0" fillId="0" borderId="8" xfId="0" applyNumberFormat="1" applyFont="1" applyBorder="1"/>
    <xf numFmtId="164" fontId="0" fillId="0" borderId="0" xfId="0" applyNumberFormat="1" applyFont="1" applyFill="1" applyBorder="1"/>
    <xf numFmtId="0" fontId="4" fillId="0" borderId="0" xfId="0" applyFont="1" applyFill="1"/>
    <xf numFmtId="164" fontId="0" fillId="0" borderId="8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C6AF"/>
      <color rgb="FF1FC28D"/>
      <color rgb="FFE04559"/>
      <color rgb="FFFEA552"/>
      <color rgb="FF2B54FD"/>
      <color rgb="FFE32006"/>
      <color rgb="FFAFCE34"/>
      <color rgb="FF25CFA0"/>
      <color rgb="FF4235FF"/>
      <color rgb="FFDF6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3DA8-6182-3B4D-B510-7FD2EE5E408C}">
  <dimension ref="A1:AM67"/>
  <sheetViews>
    <sheetView zoomScale="120" zoomScaleNormal="120" workbookViewId="0">
      <selection activeCell="Z15" sqref="Z15"/>
    </sheetView>
  </sheetViews>
  <sheetFormatPr baseColWidth="10" defaultRowHeight="16" x14ac:dyDescent="0.2"/>
  <cols>
    <col min="1" max="1" width="7.5" customWidth="1"/>
    <col min="2" max="2" width="6.6640625" bestFit="1" customWidth="1"/>
    <col min="3" max="3" width="16.83203125" bestFit="1" customWidth="1"/>
    <col min="4" max="4" width="17.83203125" bestFit="1" customWidth="1"/>
    <col min="5" max="5" width="16.83203125" bestFit="1" customWidth="1"/>
    <col min="6" max="6" width="17.83203125" bestFit="1" customWidth="1"/>
    <col min="7" max="8" width="9.6640625" bestFit="1" customWidth="1"/>
    <col min="11" max="11" width="6.6640625" bestFit="1" customWidth="1"/>
    <col min="12" max="12" width="7" bestFit="1" customWidth="1"/>
    <col min="13" max="13" width="17.83203125" bestFit="1" customWidth="1"/>
    <col min="14" max="14" width="14.6640625" bestFit="1" customWidth="1"/>
    <col min="15" max="15" width="17.83203125" bestFit="1" customWidth="1"/>
    <col min="16" max="16" width="11.1640625" bestFit="1" customWidth="1"/>
    <col min="19" max="19" width="10.1640625" customWidth="1"/>
    <col min="20" max="20" width="4.1640625" bestFit="1" customWidth="1"/>
    <col min="21" max="21" width="5.1640625" bestFit="1" customWidth="1"/>
    <col min="22" max="24" width="4.1640625" bestFit="1" customWidth="1"/>
    <col min="25" max="25" width="3.1640625" bestFit="1" customWidth="1"/>
    <col min="26" max="26" width="4.5" customWidth="1"/>
    <col min="27" max="27" width="4.33203125" customWidth="1"/>
    <col min="28" max="28" width="5.6640625" customWidth="1"/>
    <col min="29" max="39" width="4.1640625" bestFit="1" customWidth="1"/>
  </cols>
  <sheetData>
    <row r="1" spans="1:39" ht="16" customHeight="1" x14ac:dyDescent="0.2">
      <c r="A1" s="29" t="s">
        <v>12</v>
      </c>
      <c r="B1" s="151" t="s">
        <v>13</v>
      </c>
      <c r="C1" s="151"/>
      <c r="D1" s="151"/>
      <c r="E1" s="151"/>
      <c r="F1" s="151"/>
      <c r="G1" s="151"/>
      <c r="H1" s="152"/>
      <c r="I1" s="64"/>
      <c r="J1" s="107" t="s">
        <v>18</v>
      </c>
      <c r="K1" s="110" t="s">
        <v>19</v>
      </c>
      <c r="L1" s="110"/>
      <c r="M1" s="110"/>
      <c r="N1" s="110"/>
      <c r="O1" s="110"/>
      <c r="P1" s="111"/>
      <c r="R1" s="107" t="s">
        <v>20</v>
      </c>
      <c r="S1" s="124" t="s">
        <v>22</v>
      </c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</row>
    <row r="2" spans="1:39" x14ac:dyDescent="0.2">
      <c r="A2" s="30"/>
      <c r="B2" s="153"/>
      <c r="C2" s="153"/>
      <c r="D2" s="153"/>
      <c r="E2" s="153"/>
      <c r="F2" s="153"/>
      <c r="G2" s="153"/>
      <c r="H2" s="154"/>
      <c r="J2" s="108"/>
      <c r="K2" s="1"/>
      <c r="L2" s="57" t="s">
        <v>0</v>
      </c>
      <c r="M2" s="57" t="s">
        <v>31</v>
      </c>
      <c r="N2" s="57" t="s">
        <v>30</v>
      </c>
      <c r="O2" s="57" t="s">
        <v>32</v>
      </c>
      <c r="P2" s="58" t="s">
        <v>2</v>
      </c>
      <c r="R2" s="108"/>
      <c r="S2" s="147" t="s">
        <v>21</v>
      </c>
      <c r="T2" s="155" t="s">
        <v>30</v>
      </c>
      <c r="U2" s="156"/>
      <c r="V2" s="156"/>
      <c r="W2" s="156"/>
      <c r="X2" s="157"/>
      <c r="Y2" s="155" t="s">
        <v>32</v>
      </c>
      <c r="Z2" s="156"/>
      <c r="AA2" s="156"/>
      <c r="AB2" s="157"/>
      <c r="AC2" s="158" t="s">
        <v>2</v>
      </c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1:39" x14ac:dyDescent="0.2">
      <c r="A3" s="30"/>
      <c r="B3" s="1"/>
      <c r="C3" s="57" t="s">
        <v>0</v>
      </c>
      <c r="D3" s="57" t="s">
        <v>31</v>
      </c>
      <c r="E3" s="57" t="s">
        <v>30</v>
      </c>
      <c r="F3" s="57" t="s">
        <v>32</v>
      </c>
      <c r="G3" s="57" t="s">
        <v>1</v>
      </c>
      <c r="H3" s="58" t="s">
        <v>2</v>
      </c>
      <c r="J3" s="108"/>
      <c r="K3" s="26" t="s">
        <v>3</v>
      </c>
      <c r="L3" s="60">
        <f>AVERAGE(L6:L14)</f>
        <v>0</v>
      </c>
      <c r="M3" s="60">
        <f>AVERAGE(M6:M14)</f>
        <v>82.692307700000001</v>
      </c>
      <c r="N3" s="60">
        <f>AVERAGE(N6:N14)</f>
        <v>93.128654983333334</v>
      </c>
      <c r="O3" s="60">
        <f>AVERAGE(O6:O14)</f>
        <v>-8.363787214285713</v>
      </c>
      <c r="P3" s="61">
        <f>AVERAGE(P6:P14)</f>
        <v>80.626398211111109</v>
      </c>
      <c r="R3" s="108"/>
      <c r="S3" s="131"/>
      <c r="T3" s="37">
        <v>45</v>
      </c>
      <c r="U3" s="37">
        <v>152</v>
      </c>
      <c r="V3" s="37">
        <v>153</v>
      </c>
      <c r="W3" s="37">
        <v>155</v>
      </c>
      <c r="X3" s="37">
        <v>12</v>
      </c>
      <c r="Y3" s="37">
        <v>36</v>
      </c>
      <c r="Z3" s="37">
        <v>46</v>
      </c>
      <c r="AA3" s="37">
        <v>47</v>
      </c>
      <c r="AB3" s="37">
        <v>156</v>
      </c>
      <c r="AC3" s="37">
        <v>115</v>
      </c>
      <c r="AD3" s="37">
        <v>116</v>
      </c>
      <c r="AE3" s="37">
        <v>117</v>
      </c>
      <c r="AF3" s="37">
        <v>126</v>
      </c>
      <c r="AG3" s="37">
        <v>128</v>
      </c>
      <c r="AH3" s="37">
        <v>129</v>
      </c>
      <c r="AI3" s="37">
        <v>131</v>
      </c>
      <c r="AJ3" s="37">
        <v>134</v>
      </c>
      <c r="AK3" s="37">
        <v>135</v>
      </c>
      <c r="AL3" s="37">
        <v>137</v>
      </c>
      <c r="AM3" s="37">
        <v>138</v>
      </c>
    </row>
    <row r="4" spans="1:39" x14ac:dyDescent="0.2">
      <c r="A4" s="30"/>
      <c r="B4" s="26" t="s">
        <v>3</v>
      </c>
      <c r="C4" s="60">
        <f>AVERAGE(C7:C22)</f>
        <v>3.9290474485714282</v>
      </c>
      <c r="D4" s="60">
        <f t="shared" ref="D4:H4" si="0">AVERAGE(D7:D22)</f>
        <v>21.600093380000001</v>
      </c>
      <c r="E4" s="60">
        <f t="shared" si="0"/>
        <v>9.4149647537499987</v>
      </c>
      <c r="F4" s="60">
        <f t="shared" si="0"/>
        <v>21.74099305</v>
      </c>
      <c r="G4" s="60">
        <f t="shared" si="0"/>
        <v>-21.5541515</v>
      </c>
      <c r="H4" s="61">
        <f t="shared" si="0"/>
        <v>-10.2264547</v>
      </c>
      <c r="J4" s="108"/>
      <c r="K4" s="26" t="s">
        <v>5</v>
      </c>
      <c r="L4" s="60">
        <f>STDEV(L6:L14)</f>
        <v>0</v>
      </c>
      <c r="M4" s="60">
        <f>STDEV(M6:M14)</f>
        <v>34.615384599999999</v>
      </c>
      <c r="N4" s="60">
        <f>STDEV(N6:N14)</f>
        <v>10.735016833790768</v>
      </c>
      <c r="O4" s="60">
        <f>STDEV(O6:O14)</f>
        <v>83.242906415141761</v>
      </c>
      <c r="P4" s="61">
        <f>STDEV(P6:P14)</f>
        <v>35.315089317032026</v>
      </c>
      <c r="R4" s="108"/>
      <c r="S4" s="75">
        <v>0</v>
      </c>
      <c r="T4" s="73">
        <v>1.5</v>
      </c>
      <c r="U4" s="53">
        <v>16.5</v>
      </c>
      <c r="V4" s="53">
        <v>6</v>
      </c>
      <c r="W4" s="53">
        <v>4</v>
      </c>
      <c r="X4" s="54">
        <v>5</v>
      </c>
      <c r="Y4" s="73">
        <v>14</v>
      </c>
      <c r="Z4" s="53">
        <v>0.5</v>
      </c>
      <c r="AA4" s="53">
        <v>2.5</v>
      </c>
      <c r="AB4" s="54">
        <v>5</v>
      </c>
      <c r="AC4" s="77">
        <v>4</v>
      </c>
      <c r="AD4" s="65">
        <v>6</v>
      </c>
      <c r="AE4" s="65">
        <v>3</v>
      </c>
      <c r="AF4" s="65">
        <v>4.25</v>
      </c>
      <c r="AG4" s="65">
        <v>4</v>
      </c>
      <c r="AH4" s="65">
        <v>12</v>
      </c>
      <c r="AI4" s="65">
        <v>7.25</v>
      </c>
      <c r="AJ4" s="65">
        <v>10</v>
      </c>
      <c r="AK4" s="65">
        <v>6.75</v>
      </c>
      <c r="AL4" s="65">
        <v>6</v>
      </c>
      <c r="AM4" s="66">
        <v>7.25</v>
      </c>
    </row>
    <row r="5" spans="1:39" x14ac:dyDescent="0.2">
      <c r="A5" s="30"/>
      <c r="B5" s="26" t="s">
        <v>5</v>
      </c>
      <c r="C5" s="60">
        <f>STDEV(C7:C22)</f>
        <v>2.388645025405344</v>
      </c>
      <c r="D5" s="60">
        <f t="shared" ref="D5:H5" si="1">STDEV(D7:D22)</f>
        <v>5.1196651017025543</v>
      </c>
      <c r="E5" s="60">
        <f t="shared" si="1"/>
        <v>2.7193170965320688</v>
      </c>
      <c r="F5" s="60">
        <f t="shared" si="1"/>
        <v>8.1266280941779918</v>
      </c>
      <c r="G5" s="60">
        <f t="shared" si="1"/>
        <v>8.6431578123808723</v>
      </c>
      <c r="H5" s="61">
        <f t="shared" si="1"/>
        <v>5.1841989302875691</v>
      </c>
      <c r="J5" s="108"/>
      <c r="K5" s="26" t="s">
        <v>4</v>
      </c>
      <c r="L5" s="62">
        <f>COUNT(L6:L14)</f>
        <v>6</v>
      </c>
      <c r="M5" s="62">
        <f>COUNT(M6:M14)</f>
        <v>4</v>
      </c>
      <c r="N5" s="62">
        <f>COUNT(N6:N14)</f>
        <v>6</v>
      </c>
      <c r="O5" s="62">
        <f>COUNT(O6:O14)</f>
        <v>7</v>
      </c>
      <c r="P5" s="63">
        <f>COUNT(P6:P14)</f>
        <v>9</v>
      </c>
      <c r="R5" s="108"/>
      <c r="S5" s="75">
        <v>3</v>
      </c>
      <c r="T5" s="73">
        <v>0.5</v>
      </c>
      <c r="U5" s="53">
        <v>2.5</v>
      </c>
      <c r="V5" s="53">
        <v>0</v>
      </c>
      <c r="W5" s="53">
        <v>0</v>
      </c>
      <c r="X5" s="54">
        <v>1.5</v>
      </c>
      <c r="Y5" s="73">
        <v>1</v>
      </c>
      <c r="Z5" s="53">
        <v>0</v>
      </c>
      <c r="AA5" s="53">
        <v>0.5</v>
      </c>
      <c r="AB5" s="54">
        <v>0</v>
      </c>
      <c r="AC5" s="73">
        <v>0</v>
      </c>
      <c r="AD5" s="53">
        <v>0</v>
      </c>
      <c r="AE5" s="53">
        <v>0</v>
      </c>
      <c r="AF5" s="53">
        <v>0</v>
      </c>
      <c r="AG5" s="53">
        <v>0</v>
      </c>
      <c r="AH5" s="53">
        <v>9</v>
      </c>
      <c r="AI5" s="53">
        <v>0</v>
      </c>
      <c r="AJ5" s="53">
        <v>7</v>
      </c>
      <c r="AK5" s="53">
        <v>0</v>
      </c>
      <c r="AL5" s="53">
        <v>4</v>
      </c>
      <c r="AM5" s="54">
        <v>6</v>
      </c>
    </row>
    <row r="6" spans="1:39" x14ac:dyDescent="0.2">
      <c r="A6" s="30"/>
      <c r="B6" s="26" t="s">
        <v>4</v>
      </c>
      <c r="C6" s="62">
        <f>COUNT(C7:C22)</f>
        <v>7</v>
      </c>
      <c r="D6" s="62">
        <f t="shared" ref="D6:H6" si="2">COUNT(D7:D22)</f>
        <v>5</v>
      </c>
      <c r="E6" s="62">
        <f t="shared" si="2"/>
        <v>8</v>
      </c>
      <c r="F6" s="62">
        <f t="shared" si="2"/>
        <v>6</v>
      </c>
      <c r="G6" s="62">
        <f t="shared" si="2"/>
        <v>2</v>
      </c>
      <c r="H6" s="63">
        <f t="shared" si="2"/>
        <v>16</v>
      </c>
      <c r="J6" s="108"/>
      <c r="K6" s="1"/>
      <c r="L6" s="65">
        <v>0</v>
      </c>
      <c r="M6" s="65">
        <v>30.769230799999999</v>
      </c>
      <c r="N6" s="65">
        <v>100</v>
      </c>
      <c r="O6" s="65">
        <v>-76.086956999999998</v>
      </c>
      <c r="P6" s="66">
        <v>100</v>
      </c>
      <c r="R6" s="108"/>
      <c r="S6" s="76">
        <v>10</v>
      </c>
      <c r="T6" s="74">
        <v>1</v>
      </c>
      <c r="U6" s="55">
        <v>3.5</v>
      </c>
      <c r="V6" s="55">
        <v>0</v>
      </c>
      <c r="W6" s="55">
        <v>0</v>
      </c>
      <c r="X6" s="56">
        <v>1.5</v>
      </c>
      <c r="Y6" s="74"/>
      <c r="Z6" s="55">
        <v>0</v>
      </c>
      <c r="AA6" s="55">
        <v>0</v>
      </c>
      <c r="AB6" s="56">
        <v>0</v>
      </c>
      <c r="AC6" s="74"/>
      <c r="AD6" s="55">
        <v>0</v>
      </c>
      <c r="AE6" s="55">
        <v>0</v>
      </c>
      <c r="AF6" s="55">
        <v>0</v>
      </c>
      <c r="AG6" s="55">
        <v>0</v>
      </c>
      <c r="AH6" s="55">
        <v>5</v>
      </c>
      <c r="AI6" s="55">
        <v>0</v>
      </c>
      <c r="AJ6" s="55">
        <v>1</v>
      </c>
      <c r="AK6" s="55">
        <v>0</v>
      </c>
      <c r="AL6" s="55">
        <v>0</v>
      </c>
      <c r="AM6" s="56">
        <v>0.25</v>
      </c>
    </row>
    <row r="7" spans="1:39" x14ac:dyDescent="0.2">
      <c r="A7" s="30"/>
      <c r="B7" s="1"/>
      <c r="C7" s="67">
        <v>5.3775100699999996</v>
      </c>
      <c r="D7" s="67">
        <v>27.409629800000001</v>
      </c>
      <c r="E7" s="67">
        <v>3.3853619899999998</v>
      </c>
      <c r="F7" s="67">
        <v>33.064341200000001</v>
      </c>
      <c r="G7" s="67">
        <v>-15.442515999999999</v>
      </c>
      <c r="H7" s="68">
        <v>-17.827507000000001</v>
      </c>
      <c r="J7" s="108"/>
      <c r="K7" s="1"/>
      <c r="L7" s="53">
        <v>0</v>
      </c>
      <c r="M7" s="53">
        <v>100</v>
      </c>
      <c r="N7" s="53">
        <v>77.192982499999999</v>
      </c>
      <c r="O7" s="53">
        <v>-87.163030000000006</v>
      </c>
      <c r="P7" s="54">
        <v>45.637583900000003</v>
      </c>
    </row>
    <row r="8" spans="1:39" x14ac:dyDescent="0.2">
      <c r="A8" s="30"/>
      <c r="B8" s="1"/>
      <c r="C8" s="69">
        <v>3.9245758099999999</v>
      </c>
      <c r="D8" s="69">
        <v>17.2716599</v>
      </c>
      <c r="E8" s="69">
        <v>11.4435228</v>
      </c>
      <c r="F8" s="69">
        <v>30.833274800000002</v>
      </c>
      <c r="G8" s="69">
        <v>-27.665787000000002</v>
      </c>
      <c r="H8" s="70">
        <v>-4.6442145999999997</v>
      </c>
      <c r="J8" s="108"/>
      <c r="K8" s="1"/>
      <c r="L8" s="53">
        <v>0</v>
      </c>
      <c r="M8" s="53">
        <v>100</v>
      </c>
      <c r="N8" s="53">
        <v>100</v>
      </c>
      <c r="O8" s="53">
        <v>-26.315788999999999</v>
      </c>
      <c r="P8" s="54">
        <v>100</v>
      </c>
    </row>
    <row r="9" spans="1:39" x14ac:dyDescent="0.2">
      <c r="A9" s="30"/>
      <c r="B9" s="1"/>
      <c r="C9" s="69">
        <v>7.3306350699999996</v>
      </c>
      <c r="D9" s="69">
        <v>15.432409699999999</v>
      </c>
      <c r="E9" s="69">
        <v>11.456553100000001</v>
      </c>
      <c r="F9" s="69"/>
      <c r="G9" s="69"/>
      <c r="H9" s="70">
        <v>-11.595940000000001</v>
      </c>
      <c r="J9" s="108"/>
      <c r="K9" s="1"/>
      <c r="L9" s="53">
        <v>0</v>
      </c>
      <c r="M9" s="53">
        <v>100</v>
      </c>
      <c r="N9" s="53">
        <v>100</v>
      </c>
      <c r="O9" s="53">
        <v>35.087719300000003</v>
      </c>
      <c r="P9" s="54">
        <v>100</v>
      </c>
    </row>
    <row r="10" spans="1:39" x14ac:dyDescent="0.2">
      <c r="A10" s="30"/>
      <c r="B10" s="1"/>
      <c r="C10" s="69">
        <v>5.9969406100000002</v>
      </c>
      <c r="D10" s="69">
        <v>22.651971400000001</v>
      </c>
      <c r="E10" s="69">
        <v>9.7019271899999993</v>
      </c>
      <c r="F10" s="69">
        <v>18.2340418</v>
      </c>
      <c r="G10" s="69"/>
      <c r="H10" s="70">
        <v>-5.2755127000000002</v>
      </c>
      <c r="J10" s="108"/>
      <c r="K10" s="1"/>
      <c r="L10" s="53">
        <v>0</v>
      </c>
      <c r="M10" s="69"/>
      <c r="N10" s="53">
        <v>81.578947400000004</v>
      </c>
      <c r="O10" s="53">
        <v>-93.542137999999994</v>
      </c>
      <c r="P10" s="54">
        <v>100</v>
      </c>
    </row>
    <row r="11" spans="1:39" x14ac:dyDescent="0.2">
      <c r="A11" s="30"/>
      <c r="B11" s="1"/>
      <c r="C11" s="69">
        <v>2.0940799700000001</v>
      </c>
      <c r="D11" s="69">
        <v>25.234796100000001</v>
      </c>
      <c r="E11" s="69">
        <v>9.8625297500000002</v>
      </c>
      <c r="F11" s="69">
        <v>14.5078684</v>
      </c>
      <c r="G11" s="69"/>
      <c r="H11" s="70">
        <v>-9.4356384000000002</v>
      </c>
      <c r="J11" s="108"/>
      <c r="K11" s="1"/>
      <c r="L11" s="53">
        <v>0</v>
      </c>
      <c r="M11" s="69"/>
      <c r="N11" s="53">
        <v>100</v>
      </c>
      <c r="O11" s="53">
        <v>100</v>
      </c>
      <c r="P11" s="54">
        <v>80</v>
      </c>
    </row>
    <row r="12" spans="1:39" x14ac:dyDescent="0.2">
      <c r="A12" s="30"/>
      <c r="B12" s="1"/>
      <c r="C12" s="69">
        <v>1.5038070699999999</v>
      </c>
      <c r="D12" s="69"/>
      <c r="E12" s="69">
        <v>11.287521399999999</v>
      </c>
      <c r="F12" s="69">
        <v>14.9160512</v>
      </c>
      <c r="G12" s="69"/>
      <c r="H12" s="70">
        <v>-10.960335000000001</v>
      </c>
      <c r="J12" s="108"/>
      <c r="K12" s="1"/>
      <c r="L12" s="69"/>
      <c r="M12" s="69"/>
      <c r="N12" s="69"/>
      <c r="O12" s="53">
        <v>89.473684199999994</v>
      </c>
      <c r="P12" s="54">
        <v>100</v>
      </c>
    </row>
    <row r="13" spans="1:39" x14ac:dyDescent="0.2">
      <c r="A13" s="30"/>
      <c r="B13" s="1"/>
      <c r="C13" s="69">
        <v>1.2757835399999999</v>
      </c>
      <c r="D13" s="69"/>
      <c r="E13" s="69">
        <v>10.3410943</v>
      </c>
      <c r="F13" s="69">
        <v>18.8903809</v>
      </c>
      <c r="G13" s="69"/>
      <c r="H13" s="70">
        <v>-12.160477</v>
      </c>
      <c r="J13" s="108"/>
      <c r="K13" s="1"/>
      <c r="L13" s="69"/>
      <c r="M13" s="69"/>
      <c r="N13" s="69"/>
      <c r="O13" s="69"/>
      <c r="P13" s="54">
        <v>100</v>
      </c>
    </row>
    <row r="14" spans="1:39" x14ac:dyDescent="0.2">
      <c r="A14" s="30"/>
      <c r="B14" s="1"/>
      <c r="C14" s="69"/>
      <c r="D14" s="69"/>
      <c r="E14" s="69">
        <v>7.8412075000000003</v>
      </c>
      <c r="F14" s="69"/>
      <c r="G14" s="69"/>
      <c r="H14" s="70">
        <v>-6.5045470999999999</v>
      </c>
      <c r="J14" s="109"/>
      <c r="K14" s="2"/>
      <c r="L14" s="71"/>
      <c r="M14" s="71"/>
      <c r="N14" s="71"/>
      <c r="O14" s="71"/>
      <c r="P14" s="56">
        <v>0</v>
      </c>
    </row>
    <row r="15" spans="1:39" x14ac:dyDescent="0.2">
      <c r="A15" s="30"/>
      <c r="B15" s="1"/>
      <c r="C15" s="69"/>
      <c r="D15" s="69"/>
      <c r="E15" s="69"/>
      <c r="F15" s="69"/>
      <c r="G15" s="69"/>
      <c r="H15" s="70">
        <v>-19.634520999999999</v>
      </c>
    </row>
    <row r="16" spans="1:39" x14ac:dyDescent="0.2">
      <c r="A16" s="30"/>
      <c r="B16" s="1"/>
      <c r="C16" s="69"/>
      <c r="D16" s="69"/>
      <c r="E16" s="69"/>
      <c r="F16" s="69"/>
      <c r="G16" s="69"/>
      <c r="H16" s="70">
        <v>-8.0876923000000005</v>
      </c>
    </row>
    <row r="17" spans="1:8" x14ac:dyDescent="0.2">
      <c r="A17" s="30"/>
      <c r="B17" s="1"/>
      <c r="C17" s="69"/>
      <c r="D17" s="69"/>
      <c r="E17" s="69"/>
      <c r="F17" s="69"/>
      <c r="G17" s="69"/>
      <c r="H17" s="70">
        <v>-10.789001000000001</v>
      </c>
    </row>
    <row r="18" spans="1:8" x14ac:dyDescent="0.2">
      <c r="A18" s="30"/>
      <c r="B18" s="1"/>
      <c r="C18" s="69"/>
      <c r="D18" s="69"/>
      <c r="E18" s="69"/>
      <c r="F18" s="69"/>
      <c r="G18" s="69"/>
      <c r="H18" s="70">
        <v>-18.857018</v>
      </c>
    </row>
    <row r="19" spans="1:8" x14ac:dyDescent="0.2">
      <c r="A19" s="30"/>
      <c r="B19" s="1"/>
      <c r="C19" s="69"/>
      <c r="D19" s="69"/>
      <c r="E19" s="69"/>
      <c r="F19" s="69"/>
      <c r="G19" s="69"/>
      <c r="H19" s="70">
        <v>-9.6526590999999993</v>
      </c>
    </row>
    <row r="20" spans="1:8" x14ac:dyDescent="0.2">
      <c r="A20" s="30"/>
      <c r="B20" s="1"/>
      <c r="C20" s="69"/>
      <c r="D20" s="69"/>
      <c r="E20" s="69"/>
      <c r="F20" s="69"/>
      <c r="G20" s="69"/>
      <c r="H20" s="70">
        <v>-11.775658</v>
      </c>
    </row>
    <row r="21" spans="1:8" x14ac:dyDescent="0.2">
      <c r="A21" s="30"/>
      <c r="B21" s="1"/>
      <c r="C21" s="69"/>
      <c r="D21" s="69"/>
      <c r="E21" s="69"/>
      <c r="F21" s="69"/>
      <c r="G21" s="69"/>
      <c r="H21" s="70">
        <v>-3.1298954999999999</v>
      </c>
    </row>
    <row r="22" spans="1:8" x14ac:dyDescent="0.2">
      <c r="A22" s="31"/>
      <c r="B22" s="2"/>
      <c r="C22" s="71"/>
      <c r="D22" s="71"/>
      <c r="E22" s="71"/>
      <c r="F22" s="71"/>
      <c r="G22" s="71"/>
      <c r="H22" s="72">
        <v>-3.2926584999999999</v>
      </c>
    </row>
    <row r="24" spans="1:8" ht="16" customHeight="1" x14ac:dyDescent="0.2">
      <c r="A24" s="107" t="s">
        <v>14</v>
      </c>
      <c r="B24" s="151" t="s">
        <v>15</v>
      </c>
      <c r="C24" s="151"/>
      <c r="D24" s="151"/>
      <c r="E24" s="151"/>
      <c r="F24" s="151"/>
      <c r="G24" s="152"/>
    </row>
    <row r="25" spans="1:8" x14ac:dyDescent="0.2">
      <c r="A25" s="108"/>
      <c r="B25" s="153"/>
      <c r="C25" s="153"/>
      <c r="D25" s="153"/>
      <c r="E25" s="153"/>
      <c r="F25" s="153"/>
      <c r="G25" s="154"/>
    </row>
    <row r="26" spans="1:8" x14ac:dyDescent="0.2">
      <c r="A26" s="108"/>
      <c r="B26" s="32"/>
      <c r="C26" s="57" t="s">
        <v>31</v>
      </c>
      <c r="D26" s="57" t="s">
        <v>30</v>
      </c>
      <c r="E26" s="57" t="s">
        <v>32</v>
      </c>
      <c r="F26" s="57" t="s">
        <v>1</v>
      </c>
      <c r="G26" s="58" t="s">
        <v>2</v>
      </c>
    </row>
    <row r="27" spans="1:8" x14ac:dyDescent="0.2">
      <c r="A27" s="108"/>
      <c r="B27" s="35" t="s">
        <v>3</v>
      </c>
      <c r="C27" s="60">
        <f t="shared" ref="C27:G27" si="3">AVERAGE(C30:C45)</f>
        <v>11.844828783333334</v>
      </c>
      <c r="D27" s="60">
        <f t="shared" si="3"/>
        <v>5.2919127925000007</v>
      </c>
      <c r="E27" s="60">
        <f t="shared" si="3"/>
        <v>13.99727775857143</v>
      </c>
      <c r="F27" s="60">
        <f t="shared" si="3"/>
        <v>-15.052763000000001</v>
      </c>
      <c r="G27" s="61">
        <f t="shared" si="3"/>
        <v>-9.8088089374999985</v>
      </c>
    </row>
    <row r="28" spans="1:8" x14ac:dyDescent="0.2">
      <c r="A28" s="108"/>
      <c r="B28" s="35" t="s">
        <v>5</v>
      </c>
      <c r="C28" s="60">
        <f t="shared" ref="C28:G28" si="4">STDEV(C30:C45)</f>
        <v>3.542214297643139</v>
      </c>
      <c r="D28" s="60">
        <f t="shared" si="4"/>
        <v>1.4200558650817534</v>
      </c>
      <c r="E28" s="60">
        <f t="shared" si="4"/>
        <v>4.5578572942040401</v>
      </c>
      <c r="F28" s="60">
        <f t="shared" si="4"/>
        <v>5.7013751066494454</v>
      </c>
      <c r="G28" s="61">
        <f t="shared" si="4"/>
        <v>5.0053969116208812</v>
      </c>
    </row>
    <row r="29" spans="1:8" x14ac:dyDescent="0.2">
      <c r="A29" s="108"/>
      <c r="B29" s="35" t="s">
        <v>4</v>
      </c>
      <c r="C29" s="62">
        <f t="shared" ref="C29" si="5">COUNT(C30:C45)</f>
        <v>3</v>
      </c>
      <c r="D29" s="62">
        <f t="shared" ref="D29" si="6">COUNT(D30:D45)</f>
        <v>8</v>
      </c>
      <c r="E29" s="62">
        <f t="shared" ref="E29" si="7">COUNT(E30:E45)</f>
        <v>7</v>
      </c>
      <c r="F29" s="62">
        <f t="shared" ref="F29" si="8">COUNT(F30:F45)</f>
        <v>2</v>
      </c>
      <c r="G29" s="63">
        <f t="shared" ref="G29" si="9">COUNT(G30:G45)</f>
        <v>16</v>
      </c>
    </row>
    <row r="30" spans="1:8" x14ac:dyDescent="0.2">
      <c r="A30" s="108"/>
      <c r="B30" s="32"/>
      <c r="C30" s="69">
        <v>13.243339499999999</v>
      </c>
      <c r="D30" s="69">
        <v>3.0903587300000002</v>
      </c>
      <c r="E30" s="69">
        <v>16.446337400000001</v>
      </c>
      <c r="F30" s="69">
        <v>-11.021281999999999</v>
      </c>
      <c r="G30" s="70">
        <v>-17.462821999999999</v>
      </c>
    </row>
    <row r="31" spans="1:8" x14ac:dyDescent="0.2">
      <c r="A31" s="108"/>
      <c r="B31" s="32"/>
      <c r="C31" s="69"/>
      <c r="D31" s="69">
        <v>7.0744228400000004</v>
      </c>
      <c r="E31" s="69">
        <v>19.249155699999999</v>
      </c>
      <c r="F31" s="69">
        <v>-19.084244000000002</v>
      </c>
      <c r="G31" s="70">
        <v>-4.4054146000000003</v>
      </c>
    </row>
    <row r="32" spans="1:8" x14ac:dyDescent="0.2">
      <c r="A32" s="108"/>
      <c r="B32" s="32"/>
      <c r="C32" s="69"/>
      <c r="D32" s="69">
        <v>5.5463155100000003</v>
      </c>
      <c r="E32" s="69">
        <v>18.672383</v>
      </c>
      <c r="F32" s="69"/>
      <c r="G32" s="70">
        <v>-11.061119</v>
      </c>
    </row>
    <row r="33" spans="1:7" x14ac:dyDescent="0.2">
      <c r="A33" s="108"/>
      <c r="B33" s="32"/>
      <c r="C33" s="69">
        <v>14.4742981</v>
      </c>
      <c r="D33" s="69">
        <v>6.8027572599999999</v>
      </c>
      <c r="E33" s="69">
        <v>13.544507299999999</v>
      </c>
      <c r="F33" s="69"/>
      <c r="G33" s="70">
        <v>-5.0351868</v>
      </c>
    </row>
    <row r="34" spans="1:7" x14ac:dyDescent="0.2">
      <c r="A34" s="108"/>
      <c r="B34" s="32"/>
      <c r="C34" s="69">
        <v>7.8168487500000001</v>
      </c>
      <c r="D34" s="69">
        <v>4.0692761700000002</v>
      </c>
      <c r="E34" s="69">
        <v>13.8148225</v>
      </c>
      <c r="F34" s="69"/>
      <c r="G34" s="70">
        <v>-9.0656128000000002</v>
      </c>
    </row>
    <row r="35" spans="1:7" x14ac:dyDescent="0.2">
      <c r="A35" s="108"/>
      <c r="B35" s="32"/>
      <c r="C35" s="69"/>
      <c r="D35" s="69">
        <v>5.9469451900000001</v>
      </c>
      <c r="E35" s="69">
        <v>8.2784779900000007</v>
      </c>
      <c r="F35" s="69"/>
      <c r="G35" s="70">
        <v>-10.654396</v>
      </c>
    </row>
    <row r="36" spans="1:7" x14ac:dyDescent="0.2">
      <c r="A36" s="108"/>
      <c r="B36" s="32"/>
      <c r="C36" s="69"/>
      <c r="D36" s="69">
        <v>5.7736301399999999</v>
      </c>
      <c r="E36" s="69">
        <v>7.9752604199999997</v>
      </c>
      <c r="F36" s="69"/>
      <c r="G36" s="70">
        <v>-11.324294999999999</v>
      </c>
    </row>
    <row r="37" spans="1:7" x14ac:dyDescent="0.2">
      <c r="A37" s="108"/>
      <c r="B37" s="32"/>
      <c r="C37" s="69"/>
      <c r="D37" s="69">
        <v>4.0315965</v>
      </c>
      <c r="E37" s="69"/>
      <c r="F37" s="69"/>
      <c r="G37" s="70">
        <v>-6.3016053000000003</v>
      </c>
    </row>
    <row r="38" spans="1:7" x14ac:dyDescent="0.2">
      <c r="A38" s="108"/>
      <c r="B38" s="32"/>
      <c r="C38" s="69"/>
      <c r="D38" s="69"/>
      <c r="E38" s="69"/>
      <c r="F38" s="69"/>
      <c r="G38" s="70">
        <v>-18.812836000000001</v>
      </c>
    </row>
    <row r="39" spans="1:7" x14ac:dyDescent="0.2">
      <c r="A39" s="108"/>
      <c r="B39" s="32"/>
      <c r="C39" s="69"/>
      <c r="D39" s="69"/>
      <c r="E39" s="69"/>
      <c r="F39" s="69"/>
      <c r="G39" s="70">
        <v>-7.9160309</v>
      </c>
    </row>
    <row r="40" spans="1:7" x14ac:dyDescent="0.2">
      <c r="A40" s="108"/>
      <c r="B40" s="32"/>
      <c r="C40" s="69"/>
      <c r="D40" s="69"/>
      <c r="E40" s="69"/>
      <c r="F40" s="69"/>
      <c r="G40" s="70">
        <v>-10.515361</v>
      </c>
    </row>
    <row r="41" spans="1:7" x14ac:dyDescent="0.2">
      <c r="A41" s="108"/>
      <c r="B41" s="32"/>
      <c r="C41" s="69"/>
      <c r="D41" s="69"/>
      <c r="E41" s="69"/>
      <c r="F41" s="69"/>
      <c r="G41" s="70">
        <v>-18.055167999999998</v>
      </c>
    </row>
    <row r="42" spans="1:7" x14ac:dyDescent="0.2">
      <c r="A42" s="108"/>
      <c r="B42" s="32"/>
      <c r="C42" s="69"/>
      <c r="D42" s="69"/>
      <c r="E42" s="69"/>
      <c r="F42" s="69"/>
      <c r="G42" s="70">
        <v>-9.1124980000000004</v>
      </c>
    </row>
    <row r="43" spans="1:7" x14ac:dyDescent="0.2">
      <c r="A43" s="108"/>
      <c r="B43" s="32"/>
      <c r="C43" s="69"/>
      <c r="D43" s="69"/>
      <c r="E43" s="69"/>
      <c r="F43" s="69"/>
      <c r="G43" s="70">
        <v>-11.184634000000001</v>
      </c>
    </row>
    <row r="44" spans="1:7" x14ac:dyDescent="0.2">
      <c r="A44" s="108"/>
      <c r="B44" s="32"/>
      <c r="C44" s="69"/>
      <c r="D44" s="69"/>
      <c r="E44" s="69"/>
      <c r="F44" s="69"/>
      <c r="G44" s="70">
        <v>-2.9254278</v>
      </c>
    </row>
    <row r="45" spans="1:7" x14ac:dyDescent="0.2">
      <c r="A45" s="109"/>
      <c r="B45" s="33"/>
      <c r="C45" s="71"/>
      <c r="D45" s="71"/>
      <c r="E45" s="71"/>
      <c r="F45" s="71"/>
      <c r="G45" s="72">
        <v>-3.1085357999999998</v>
      </c>
    </row>
    <row r="46" spans="1:7" ht="19" customHeight="1" x14ac:dyDescent="0.2"/>
    <row r="47" spans="1:7" ht="34" x14ac:dyDescent="0.2">
      <c r="A47" s="23" t="s">
        <v>16</v>
      </c>
      <c r="B47" s="151" t="s">
        <v>17</v>
      </c>
      <c r="C47" s="151"/>
      <c r="D47" s="151"/>
      <c r="E47" s="151"/>
      <c r="F47" s="151"/>
      <c r="G47" s="152"/>
    </row>
    <row r="48" spans="1:7" x14ac:dyDescent="0.2">
      <c r="A48" s="24"/>
      <c r="B48" s="1"/>
      <c r="C48" s="57" t="s">
        <v>31</v>
      </c>
      <c r="D48" s="57" t="s">
        <v>30</v>
      </c>
      <c r="E48" s="57" t="s">
        <v>32</v>
      </c>
      <c r="F48" s="57" t="s">
        <v>1</v>
      </c>
      <c r="G48" s="58" t="s">
        <v>2</v>
      </c>
    </row>
    <row r="49" spans="1:7" x14ac:dyDescent="0.2">
      <c r="A49" s="24"/>
      <c r="B49" s="26" t="s">
        <v>3</v>
      </c>
      <c r="C49" s="60">
        <f t="shared" ref="C49:G49" si="10">AVERAGE(C52:C67)</f>
        <v>66.417707500000006</v>
      </c>
      <c r="D49" s="60">
        <f t="shared" si="10"/>
        <v>271.779633375</v>
      </c>
      <c r="E49" s="60">
        <f t="shared" si="10"/>
        <v>203.76141500000003</v>
      </c>
      <c r="F49" s="60">
        <f t="shared" si="10"/>
        <v>31.792152649999998</v>
      </c>
      <c r="G49" s="61">
        <f t="shared" si="10"/>
        <v>25.402650725000001</v>
      </c>
    </row>
    <row r="50" spans="1:7" x14ac:dyDescent="0.2">
      <c r="A50" s="24"/>
      <c r="B50" s="26" t="s">
        <v>5</v>
      </c>
      <c r="C50" s="60">
        <f t="shared" ref="C50:G50" si="11">STDEV(C52:C67)</f>
        <v>13.960024503390416</v>
      </c>
      <c r="D50" s="60">
        <f t="shared" si="11"/>
        <v>70.968627400057727</v>
      </c>
      <c r="E50" s="60">
        <f t="shared" si="11"/>
        <v>54.708097511339012</v>
      </c>
      <c r="F50" s="60">
        <f t="shared" si="11"/>
        <v>1.6112674638590696</v>
      </c>
      <c r="G50" s="61">
        <f t="shared" si="11"/>
        <v>7.785271439242635</v>
      </c>
    </row>
    <row r="51" spans="1:7" x14ac:dyDescent="0.2">
      <c r="A51" s="24"/>
      <c r="B51" s="26" t="s">
        <v>4</v>
      </c>
      <c r="C51" s="62">
        <f t="shared" ref="C51" si="12">COUNT(C52:C67)</f>
        <v>6</v>
      </c>
      <c r="D51" s="62">
        <f t="shared" ref="D51" si="13">COUNT(D52:D67)</f>
        <v>8</v>
      </c>
      <c r="E51" s="62">
        <f t="shared" ref="E51" si="14">COUNT(E52:E67)</f>
        <v>7</v>
      </c>
      <c r="F51" s="62">
        <f t="shared" ref="F51" si="15">COUNT(F52:F67)</f>
        <v>2</v>
      </c>
      <c r="G51" s="63">
        <f t="shared" ref="G51" si="16">COUNT(G52:G67)</f>
        <v>16</v>
      </c>
    </row>
    <row r="52" spans="1:7" x14ac:dyDescent="0.2">
      <c r="A52" s="24"/>
      <c r="B52" s="1"/>
      <c r="C52" s="67">
        <v>65.530298000000002</v>
      </c>
      <c r="D52" s="67">
        <v>163.74253200000001</v>
      </c>
      <c r="E52" s="67">
        <v>247.162938</v>
      </c>
      <c r="F52" s="67">
        <v>32.931490799999999</v>
      </c>
      <c r="G52" s="68">
        <v>27.798498299999999</v>
      </c>
    </row>
    <row r="53" spans="1:7" x14ac:dyDescent="0.2">
      <c r="A53" s="24"/>
      <c r="B53" s="1"/>
      <c r="C53" s="69">
        <v>48.018689500000001</v>
      </c>
      <c r="D53" s="69">
        <v>206.93239399999999</v>
      </c>
      <c r="E53" s="69">
        <v>220.40710999999999</v>
      </c>
      <c r="F53" s="69">
        <v>30.652814500000002</v>
      </c>
      <c r="G53" s="70">
        <v>29.162940500000001</v>
      </c>
    </row>
    <row r="54" spans="1:7" x14ac:dyDescent="0.2">
      <c r="A54" s="24"/>
      <c r="B54" s="1"/>
      <c r="C54" s="69">
        <v>53.706357500000003</v>
      </c>
      <c r="D54" s="69">
        <v>306.45216900000003</v>
      </c>
      <c r="E54" s="69">
        <v>287.20674400000001</v>
      </c>
      <c r="F54" s="69"/>
      <c r="G54" s="70">
        <v>24.862318500000001</v>
      </c>
    </row>
    <row r="55" spans="1:7" x14ac:dyDescent="0.2">
      <c r="A55" s="24"/>
      <c r="B55" s="1"/>
      <c r="C55" s="69">
        <v>80.3779495</v>
      </c>
      <c r="D55" s="69">
        <v>234.86390299999999</v>
      </c>
      <c r="E55" s="69">
        <v>116.86175900000001</v>
      </c>
      <c r="F55" s="69"/>
      <c r="G55" s="70">
        <v>14.517730200000001</v>
      </c>
    </row>
    <row r="56" spans="1:7" x14ac:dyDescent="0.2">
      <c r="A56" s="24"/>
      <c r="B56" s="1"/>
      <c r="C56" s="69">
        <v>67.822115699999998</v>
      </c>
      <c r="D56" s="69">
        <v>359.11273699999998</v>
      </c>
      <c r="E56" s="69">
        <v>173.92362700000001</v>
      </c>
      <c r="F56" s="69"/>
      <c r="G56" s="70">
        <v>17.819105700000001</v>
      </c>
    </row>
    <row r="57" spans="1:7" x14ac:dyDescent="0.2">
      <c r="A57" s="24"/>
      <c r="B57" s="1"/>
      <c r="C57" s="69">
        <v>83.050834800000004</v>
      </c>
      <c r="D57" s="69">
        <v>367.30440700000003</v>
      </c>
      <c r="E57" s="69">
        <v>194.51906199999999</v>
      </c>
      <c r="F57" s="69"/>
      <c r="G57" s="70">
        <v>28.696238699999999</v>
      </c>
    </row>
    <row r="58" spans="1:7" x14ac:dyDescent="0.2">
      <c r="A58" s="24"/>
      <c r="B58" s="1"/>
      <c r="C58" s="69"/>
      <c r="D58" s="69">
        <v>271.89908700000001</v>
      </c>
      <c r="E58" s="69">
        <v>186.24866499999999</v>
      </c>
      <c r="F58" s="69"/>
      <c r="G58" s="70">
        <v>18.504756199999999</v>
      </c>
    </row>
    <row r="59" spans="1:7" x14ac:dyDescent="0.2">
      <c r="A59" s="24"/>
      <c r="B59" s="1"/>
      <c r="C59" s="69"/>
      <c r="D59" s="69">
        <v>263.92983800000002</v>
      </c>
      <c r="E59" s="69"/>
      <c r="F59" s="69"/>
      <c r="G59" s="70">
        <v>29.373369799999999</v>
      </c>
    </row>
    <row r="60" spans="1:7" x14ac:dyDescent="0.2">
      <c r="A60" s="24"/>
      <c r="B60" s="1"/>
      <c r="C60" s="69"/>
      <c r="D60" s="69"/>
      <c r="E60" s="69"/>
      <c r="F60" s="69"/>
      <c r="G60" s="70">
        <v>19.797452400000001</v>
      </c>
    </row>
    <row r="61" spans="1:7" x14ac:dyDescent="0.2">
      <c r="A61" s="24"/>
      <c r="B61" s="1"/>
      <c r="C61" s="69"/>
      <c r="D61" s="69"/>
      <c r="E61" s="69"/>
      <c r="F61" s="69"/>
      <c r="G61" s="70">
        <v>10.713672499999999</v>
      </c>
    </row>
    <row r="62" spans="1:7" x14ac:dyDescent="0.2">
      <c r="A62" s="24"/>
      <c r="B62" s="1"/>
      <c r="C62" s="69"/>
      <c r="D62" s="69"/>
      <c r="E62" s="69"/>
      <c r="F62" s="69"/>
      <c r="G62" s="70">
        <v>24.247362500000001</v>
      </c>
    </row>
    <row r="63" spans="1:7" x14ac:dyDescent="0.2">
      <c r="A63" s="24"/>
      <c r="B63" s="1"/>
      <c r="C63" s="69"/>
      <c r="D63" s="69"/>
      <c r="E63" s="69"/>
      <c r="F63" s="69"/>
      <c r="G63" s="70">
        <v>26.291051800000002</v>
      </c>
    </row>
    <row r="64" spans="1:7" x14ac:dyDescent="0.2">
      <c r="A64" s="24"/>
      <c r="B64" s="1"/>
      <c r="C64" s="69"/>
      <c r="D64" s="69"/>
      <c r="E64" s="69"/>
      <c r="F64" s="69"/>
      <c r="G64" s="70">
        <v>34.348793100000002</v>
      </c>
    </row>
    <row r="65" spans="1:7" x14ac:dyDescent="0.2">
      <c r="A65" s="24"/>
      <c r="B65" s="1"/>
      <c r="C65" s="69"/>
      <c r="D65" s="69"/>
      <c r="E65" s="69"/>
      <c r="F65" s="69"/>
      <c r="G65" s="70">
        <v>32.390627799999997</v>
      </c>
    </row>
    <row r="66" spans="1:7" x14ac:dyDescent="0.2">
      <c r="A66" s="24"/>
      <c r="B66" s="1"/>
      <c r="C66" s="69"/>
      <c r="D66" s="69"/>
      <c r="E66" s="69"/>
      <c r="F66" s="69"/>
      <c r="G66" s="70">
        <v>41.515495199999997</v>
      </c>
    </row>
    <row r="67" spans="1:7" x14ac:dyDescent="0.2">
      <c r="A67" s="25"/>
      <c r="B67" s="2"/>
      <c r="C67" s="71"/>
      <c r="D67" s="71"/>
      <c r="E67" s="71"/>
      <c r="F67" s="71"/>
      <c r="G67" s="72">
        <v>26.402998400000001</v>
      </c>
    </row>
  </sheetData>
  <mergeCells count="12">
    <mergeCell ref="AC2:AM2"/>
    <mergeCell ref="S1:AM1"/>
    <mergeCell ref="B47:G47"/>
    <mergeCell ref="K1:P1"/>
    <mergeCell ref="J1:J14"/>
    <mergeCell ref="R1:R6"/>
    <mergeCell ref="B24:G25"/>
    <mergeCell ref="A24:A45"/>
    <mergeCell ref="B1:H2"/>
    <mergeCell ref="S2:S3"/>
    <mergeCell ref="Y2:AB2"/>
    <mergeCell ref="T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6317-B378-0A4D-8743-3503B2161176}">
  <dimension ref="A1:BM68"/>
  <sheetViews>
    <sheetView tabSelected="1" topLeftCell="B1" workbookViewId="0">
      <selection activeCell="B10" sqref="B10:B11"/>
    </sheetView>
  </sheetViews>
  <sheetFormatPr baseColWidth="10" defaultRowHeight="16" x14ac:dyDescent="0.2"/>
  <cols>
    <col min="1" max="1" width="7.5" customWidth="1"/>
    <col min="3" max="3" width="8.33203125" customWidth="1"/>
    <col min="4" max="4" width="8.5" customWidth="1"/>
    <col min="5" max="5" width="5" customWidth="1"/>
    <col min="6" max="6" width="6.6640625" customWidth="1"/>
    <col min="7" max="7" width="6" customWidth="1"/>
    <col min="8" max="8" width="5.33203125" bestFit="1" customWidth="1"/>
    <col min="9" max="9" width="4.6640625" bestFit="1" customWidth="1"/>
    <col min="10" max="10" width="5.33203125" bestFit="1" customWidth="1"/>
    <col min="11" max="11" width="5.33203125" style="34" bestFit="1" customWidth="1"/>
    <col min="12" max="12" width="8.1640625" customWidth="1"/>
    <col min="13" max="13" width="7.5" customWidth="1"/>
    <col min="14" max="14" width="8" customWidth="1"/>
    <col min="15" max="15" width="5.1640625" customWidth="1"/>
    <col min="16" max="16" width="7.83203125" customWidth="1"/>
    <col min="17" max="19" width="5.33203125" bestFit="1" customWidth="1"/>
    <col min="20" max="21" width="4.33203125" bestFit="1" customWidth="1"/>
    <col min="23" max="23" width="7.5" customWidth="1"/>
    <col min="25" max="25" width="8.33203125" customWidth="1"/>
    <col min="26" max="26" width="8.5" customWidth="1"/>
    <col min="27" max="27" width="5" customWidth="1"/>
    <col min="28" max="28" width="6.6640625" customWidth="1"/>
    <col min="29" max="29" width="6" customWidth="1"/>
    <col min="30" max="30" width="5.33203125" bestFit="1" customWidth="1"/>
    <col min="31" max="31" width="4.6640625" bestFit="1" customWidth="1"/>
    <col min="32" max="32" width="5.33203125" bestFit="1" customWidth="1"/>
    <col min="33" max="33" width="5.33203125" style="34" bestFit="1" customWidth="1"/>
    <col min="34" max="34" width="5.33203125" bestFit="1" customWidth="1"/>
    <col min="35" max="35" width="4.6640625" bestFit="1" customWidth="1"/>
    <col min="36" max="36" width="5.33203125" bestFit="1" customWidth="1"/>
    <col min="37" max="37" width="4.33203125" bestFit="1" customWidth="1"/>
    <col min="38" max="41" width="5.33203125" bestFit="1" customWidth="1"/>
    <col min="42" max="43" width="4.33203125" bestFit="1" customWidth="1"/>
    <col min="45" max="45" width="7.5" customWidth="1"/>
    <col min="47" max="47" width="8.33203125" customWidth="1"/>
    <col min="48" max="48" width="8.5" customWidth="1"/>
    <col min="49" max="49" width="5" customWidth="1"/>
    <col min="50" max="50" width="6.6640625" customWidth="1"/>
    <col min="51" max="51" width="6" customWidth="1"/>
    <col min="52" max="52" width="5.33203125" bestFit="1" customWidth="1"/>
    <col min="53" max="53" width="4.6640625" bestFit="1" customWidth="1"/>
    <col min="54" max="54" width="5.33203125" bestFit="1" customWidth="1"/>
    <col min="55" max="55" width="5.33203125" style="34" bestFit="1" customWidth="1"/>
    <col min="56" max="56" width="5.33203125" bestFit="1" customWidth="1"/>
    <col min="57" max="57" width="4.6640625" bestFit="1" customWidth="1"/>
    <col min="58" max="58" width="5.33203125" bestFit="1" customWidth="1"/>
    <col min="59" max="59" width="4.33203125" bestFit="1" customWidth="1"/>
    <col min="60" max="63" width="5.33203125" bestFit="1" customWidth="1"/>
    <col min="64" max="65" width="4.33203125" bestFit="1" customWidth="1"/>
  </cols>
  <sheetData>
    <row r="1" spans="1:65" ht="16" customHeight="1" x14ac:dyDescent="0.2">
      <c r="A1" s="107" t="s">
        <v>24</v>
      </c>
      <c r="B1" s="110" t="s">
        <v>23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  <c r="W1" s="107" t="s">
        <v>25</v>
      </c>
      <c r="X1" s="110" t="s">
        <v>26</v>
      </c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1"/>
      <c r="AS1" s="107" t="s">
        <v>27</v>
      </c>
      <c r="AT1" s="110" t="s">
        <v>28</v>
      </c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1"/>
    </row>
    <row r="2" spans="1:65" x14ac:dyDescent="0.2">
      <c r="A2" s="108"/>
      <c r="B2" s="27"/>
      <c r="C2" s="27"/>
      <c r="D2" s="27"/>
      <c r="E2" s="27"/>
      <c r="F2" s="27"/>
      <c r="G2" s="27"/>
      <c r="H2" s="27"/>
      <c r="I2" s="27"/>
      <c r="J2" s="27"/>
      <c r="K2" s="51"/>
      <c r="L2" s="27"/>
      <c r="M2" s="27"/>
      <c r="N2" s="1"/>
      <c r="O2" s="1"/>
      <c r="P2" s="1"/>
      <c r="Q2" s="1"/>
      <c r="R2" s="1"/>
      <c r="S2" s="1"/>
      <c r="T2" s="1"/>
      <c r="U2" s="4"/>
      <c r="W2" s="108"/>
      <c r="X2" s="27"/>
      <c r="Y2" s="27"/>
      <c r="Z2" s="27"/>
      <c r="AA2" s="27"/>
      <c r="AB2" s="27"/>
      <c r="AC2" s="27"/>
      <c r="AD2" s="27"/>
      <c r="AE2" s="27"/>
      <c r="AF2" s="27"/>
      <c r="AG2" s="51"/>
      <c r="AH2" s="27"/>
      <c r="AI2" s="27"/>
      <c r="AJ2" s="1"/>
      <c r="AK2" s="1"/>
      <c r="AL2" s="1"/>
      <c r="AM2" s="1"/>
      <c r="AN2" s="1"/>
      <c r="AO2" s="1"/>
      <c r="AP2" s="1"/>
      <c r="AQ2" s="4"/>
      <c r="AS2" s="108"/>
      <c r="AT2" s="27"/>
      <c r="AU2" s="27"/>
      <c r="AV2" s="27"/>
      <c r="AW2" s="27"/>
      <c r="AX2" s="27"/>
      <c r="AY2" s="27"/>
      <c r="AZ2" s="27"/>
      <c r="BA2" s="27"/>
      <c r="BB2" s="27"/>
      <c r="BC2" s="51"/>
      <c r="BD2" s="27"/>
      <c r="BE2" s="27"/>
      <c r="BF2" s="1"/>
      <c r="BG2" s="1"/>
      <c r="BH2" s="1"/>
      <c r="BI2" s="1"/>
      <c r="BJ2" s="1"/>
      <c r="BK2" s="1"/>
      <c r="BL2" s="1"/>
      <c r="BM2" s="4"/>
    </row>
    <row r="3" spans="1:65" x14ac:dyDescent="0.2">
      <c r="A3" s="108"/>
      <c r="B3" s="132" t="s">
        <v>6</v>
      </c>
      <c r="C3" s="133"/>
      <c r="D3" s="133"/>
      <c r="E3" s="133"/>
      <c r="F3" s="133"/>
      <c r="G3" s="133"/>
      <c r="H3" s="133"/>
      <c r="I3" s="133"/>
      <c r="J3" s="133"/>
      <c r="K3" s="133"/>
      <c r="L3" s="134"/>
      <c r="M3" s="1"/>
      <c r="N3" s="1"/>
      <c r="O3" s="1"/>
      <c r="P3" s="1"/>
      <c r="Q3" s="1"/>
      <c r="R3" s="1"/>
      <c r="S3" s="1"/>
      <c r="T3" s="1"/>
      <c r="U3" s="4"/>
      <c r="W3" s="10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1"/>
      <c r="AJ3" s="1"/>
      <c r="AK3" s="1"/>
      <c r="AL3" s="1"/>
      <c r="AM3" s="1"/>
      <c r="AN3" s="1"/>
      <c r="AO3" s="1"/>
      <c r="AP3" s="1"/>
      <c r="AQ3" s="4"/>
      <c r="AS3" s="10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1"/>
      <c r="BF3" s="1"/>
      <c r="BG3" s="1"/>
      <c r="BH3" s="1"/>
      <c r="BI3" s="1"/>
      <c r="BJ3" s="1"/>
      <c r="BK3" s="1"/>
      <c r="BL3" s="1"/>
      <c r="BM3" s="4"/>
    </row>
    <row r="4" spans="1:65" x14ac:dyDescent="0.2">
      <c r="A4" s="108"/>
      <c r="B4" s="130" t="s">
        <v>9</v>
      </c>
      <c r="C4" s="119" t="s">
        <v>3</v>
      </c>
      <c r="D4" s="119" t="s">
        <v>5</v>
      </c>
      <c r="E4" s="120" t="s">
        <v>4</v>
      </c>
      <c r="F4" s="125" t="s">
        <v>10</v>
      </c>
      <c r="G4" s="126"/>
      <c r="H4" s="126"/>
      <c r="I4" s="126"/>
      <c r="J4" s="126"/>
      <c r="K4" s="126"/>
      <c r="L4" s="127"/>
      <c r="M4" s="1"/>
      <c r="N4" s="1"/>
      <c r="O4" s="1"/>
      <c r="P4" s="1"/>
      <c r="Q4" s="1"/>
      <c r="R4" s="1"/>
      <c r="S4" s="1"/>
      <c r="T4" s="1"/>
      <c r="U4" s="4"/>
      <c r="W4" s="108"/>
      <c r="X4" s="48"/>
      <c r="Y4" s="36"/>
      <c r="Z4" s="36"/>
      <c r="AA4" s="36"/>
      <c r="AB4" s="39"/>
      <c r="AC4" s="39"/>
      <c r="AD4" s="39"/>
      <c r="AE4" s="39"/>
      <c r="AF4" s="39"/>
      <c r="AG4" s="39"/>
      <c r="AH4" s="39"/>
      <c r="AI4" s="1"/>
      <c r="AJ4" s="1"/>
      <c r="AK4" s="1"/>
      <c r="AL4" s="1"/>
      <c r="AM4" s="1"/>
      <c r="AN4" s="1"/>
      <c r="AO4" s="1"/>
      <c r="AP4" s="1"/>
      <c r="AQ4" s="4"/>
      <c r="AS4" s="108"/>
      <c r="AT4" s="48"/>
      <c r="AU4" s="36"/>
      <c r="AV4" s="36"/>
      <c r="AW4" s="36"/>
      <c r="AX4" s="39"/>
      <c r="AY4" s="39"/>
      <c r="AZ4" s="39"/>
      <c r="BA4" s="39"/>
      <c r="BB4" s="39"/>
      <c r="BC4" s="39"/>
      <c r="BD4" s="39"/>
      <c r="BE4" s="1"/>
      <c r="BF4" s="1"/>
      <c r="BG4" s="1"/>
      <c r="BH4" s="1"/>
      <c r="BI4" s="1"/>
      <c r="BJ4" s="1"/>
      <c r="BK4" s="1"/>
      <c r="BL4" s="1"/>
      <c r="BM4" s="4"/>
    </row>
    <row r="5" spans="1:65" x14ac:dyDescent="0.2">
      <c r="A5" s="108"/>
      <c r="B5" s="131"/>
      <c r="C5" s="117"/>
      <c r="D5" s="117"/>
      <c r="E5" s="118"/>
      <c r="F5" s="78">
        <v>143</v>
      </c>
      <c r="G5" s="79">
        <v>145</v>
      </c>
      <c r="H5" s="79">
        <v>146</v>
      </c>
      <c r="I5" s="79">
        <v>148</v>
      </c>
      <c r="J5" s="79">
        <v>150</v>
      </c>
      <c r="K5" s="79">
        <v>147</v>
      </c>
      <c r="L5" s="80">
        <v>149</v>
      </c>
      <c r="M5" s="1"/>
      <c r="N5" s="1"/>
      <c r="O5" s="1"/>
      <c r="P5" s="1"/>
      <c r="Q5" s="1"/>
      <c r="R5" s="1"/>
      <c r="S5" s="1"/>
      <c r="T5" s="1"/>
      <c r="U5" s="4"/>
      <c r="W5" s="108"/>
      <c r="X5" s="48"/>
      <c r="Y5" s="36"/>
      <c r="Z5" s="36"/>
      <c r="AA5" s="36"/>
      <c r="AB5" s="18"/>
      <c r="AC5" s="18"/>
      <c r="AD5" s="18"/>
      <c r="AE5" s="18"/>
      <c r="AF5" s="18"/>
      <c r="AG5" s="18"/>
      <c r="AH5" s="18"/>
      <c r="AI5" s="1"/>
      <c r="AJ5" s="1"/>
      <c r="AK5" s="1"/>
      <c r="AL5" s="1"/>
      <c r="AM5" s="1"/>
      <c r="AN5" s="1"/>
      <c r="AO5" s="1"/>
      <c r="AP5" s="1"/>
      <c r="AQ5" s="4"/>
      <c r="AS5" s="108"/>
      <c r="AT5" s="48"/>
      <c r="AU5" s="36"/>
      <c r="AV5" s="36"/>
      <c r="AW5" s="36"/>
      <c r="AX5" s="18"/>
      <c r="AY5" s="18"/>
      <c r="AZ5" s="18"/>
      <c r="BA5" s="18"/>
      <c r="BB5" s="18"/>
      <c r="BC5" s="18"/>
      <c r="BD5" s="18"/>
      <c r="BE5" s="1"/>
      <c r="BF5" s="1"/>
      <c r="BG5" s="1"/>
      <c r="BH5" s="1"/>
      <c r="BI5" s="1"/>
      <c r="BJ5" s="1"/>
      <c r="BK5" s="1"/>
      <c r="BL5" s="1"/>
      <c r="BM5" s="4"/>
    </row>
    <row r="6" spans="1:65" x14ac:dyDescent="0.2">
      <c r="A6" s="108"/>
      <c r="B6" s="43" t="s">
        <v>7</v>
      </c>
      <c r="C6" s="5">
        <f>AVERAGE(F6:L6)</f>
        <v>5.0186454772949176</v>
      </c>
      <c r="D6" s="5">
        <f>STDEV(F6:L6)</f>
        <v>2.2359645480877277</v>
      </c>
      <c r="E6" s="3">
        <f>COUNT(F6:L6)</f>
        <v>5</v>
      </c>
      <c r="F6" s="100">
        <v>5.3775100708007804</v>
      </c>
      <c r="G6" s="100">
        <v>5.0526809692382804</v>
      </c>
      <c r="H6" s="100">
        <v>7.3306350708007804</v>
      </c>
      <c r="I6" s="100">
        <v>5.9969406127929599</v>
      </c>
      <c r="J6" s="100">
        <v>1.33546066284179</v>
      </c>
      <c r="K6" s="100"/>
      <c r="L6" s="101"/>
      <c r="M6" s="1"/>
      <c r="N6" s="1"/>
      <c r="O6" s="1"/>
      <c r="P6" s="1"/>
      <c r="Q6" s="1"/>
      <c r="R6" s="1"/>
      <c r="S6" s="1"/>
      <c r="T6" s="1"/>
      <c r="U6" s="4"/>
      <c r="W6" s="108"/>
      <c r="X6" s="19"/>
      <c r="Y6" s="14"/>
      <c r="Z6" s="14"/>
      <c r="AA6" s="18"/>
      <c r="AB6" s="104"/>
      <c r="AC6" s="104"/>
      <c r="AD6" s="104"/>
      <c r="AE6" s="104"/>
      <c r="AF6" s="104"/>
      <c r="AG6" s="104"/>
      <c r="AH6" s="104"/>
      <c r="AI6" s="1"/>
      <c r="AJ6" s="1"/>
      <c r="AK6" s="1"/>
      <c r="AL6" s="1"/>
      <c r="AM6" s="1"/>
      <c r="AN6" s="1"/>
      <c r="AO6" s="1"/>
      <c r="AP6" s="1"/>
      <c r="AQ6" s="4"/>
      <c r="AS6" s="108"/>
      <c r="AT6" s="19"/>
      <c r="AU6" s="14"/>
      <c r="AV6" s="14"/>
      <c r="AW6" s="18"/>
      <c r="AX6" s="104"/>
      <c r="AY6" s="104"/>
      <c r="AZ6" s="104"/>
      <c r="BA6" s="104"/>
      <c r="BB6" s="104"/>
      <c r="BC6" s="104"/>
      <c r="BD6" s="104"/>
      <c r="BE6" s="1"/>
      <c r="BF6" s="1"/>
      <c r="BG6" s="1"/>
      <c r="BH6" s="1"/>
      <c r="BI6" s="1"/>
      <c r="BJ6" s="1"/>
      <c r="BK6" s="1"/>
      <c r="BL6" s="1"/>
      <c r="BM6" s="4"/>
    </row>
    <row r="7" spans="1:65" x14ac:dyDescent="0.2">
      <c r="A7" s="108"/>
      <c r="B7" s="46" t="s">
        <v>8</v>
      </c>
      <c r="C7" s="6">
        <f>AVERAGE(F7:L7)</f>
        <v>2.1071901321411075</v>
      </c>
      <c r="D7" s="6">
        <f>STDEV(F7:L7)</f>
        <v>0.83390638089347469</v>
      </c>
      <c r="E7" s="7">
        <f>COUNT(F7:L7)</f>
        <v>4</v>
      </c>
      <c r="F7" s="102"/>
      <c r="G7" s="102">
        <v>2.7964706420898402</v>
      </c>
      <c r="H7" s="102"/>
      <c r="I7" s="102"/>
      <c r="J7" s="102">
        <v>2.85269927978515</v>
      </c>
      <c r="K7" s="102">
        <v>1.50380706787109</v>
      </c>
      <c r="L7" s="103">
        <v>1.27578353881835</v>
      </c>
      <c r="M7" s="1"/>
      <c r="N7" s="1"/>
      <c r="O7" s="1"/>
      <c r="P7" s="1"/>
      <c r="Q7" s="1"/>
      <c r="R7" s="1"/>
      <c r="S7" s="1"/>
      <c r="T7" s="1"/>
      <c r="U7" s="4"/>
      <c r="W7" s="108"/>
      <c r="X7" s="19"/>
      <c r="Y7" s="14"/>
      <c r="Z7" s="14"/>
      <c r="AA7" s="18"/>
      <c r="AB7" s="104"/>
      <c r="AC7" s="104"/>
      <c r="AD7" s="104"/>
      <c r="AE7" s="104"/>
      <c r="AF7" s="104"/>
      <c r="AG7" s="104"/>
      <c r="AH7" s="104"/>
      <c r="AI7" s="1"/>
      <c r="AJ7" s="1"/>
      <c r="AK7" s="1"/>
      <c r="AL7" s="1"/>
      <c r="AM7" s="1"/>
      <c r="AN7" s="1"/>
      <c r="AO7" s="1"/>
      <c r="AP7" s="1"/>
      <c r="AQ7" s="4"/>
      <c r="AS7" s="108"/>
      <c r="AT7" s="19"/>
      <c r="AU7" s="14"/>
      <c r="AV7" s="14"/>
      <c r="AW7" s="18"/>
      <c r="AX7" s="104"/>
      <c r="AY7" s="104"/>
      <c r="AZ7" s="104"/>
      <c r="BA7" s="104"/>
      <c r="BB7" s="104"/>
      <c r="BC7" s="104"/>
      <c r="BD7" s="104"/>
      <c r="BE7" s="1"/>
      <c r="BF7" s="1"/>
      <c r="BG7" s="1"/>
      <c r="BH7" s="1"/>
      <c r="BI7" s="1"/>
      <c r="BJ7" s="1"/>
      <c r="BK7" s="1"/>
      <c r="BL7" s="1"/>
      <c r="BM7" s="4"/>
    </row>
    <row r="8" spans="1:65" x14ac:dyDescent="0.2">
      <c r="A8" s="108"/>
      <c r="B8" s="15"/>
      <c r="C8" s="1"/>
      <c r="D8" s="1"/>
      <c r="E8" s="1"/>
      <c r="F8" s="1"/>
      <c r="G8" s="1"/>
      <c r="H8" s="1"/>
      <c r="I8" s="1"/>
      <c r="J8" s="1"/>
      <c r="K8" s="52"/>
      <c r="L8" s="1"/>
      <c r="M8" s="1"/>
      <c r="N8" s="1"/>
      <c r="O8" s="1"/>
      <c r="P8" s="1"/>
      <c r="Q8" s="1"/>
      <c r="R8" s="1"/>
      <c r="S8" s="1"/>
      <c r="T8" s="1"/>
      <c r="U8" s="4"/>
      <c r="W8" s="108"/>
      <c r="X8" s="15"/>
      <c r="Y8" s="1"/>
      <c r="Z8" s="1"/>
      <c r="AA8" s="1"/>
      <c r="AB8" s="1"/>
      <c r="AC8" s="1"/>
      <c r="AD8" s="1"/>
      <c r="AE8" s="1"/>
      <c r="AF8" s="1"/>
      <c r="AG8" s="52"/>
      <c r="AH8" s="1"/>
      <c r="AI8" s="1"/>
      <c r="AJ8" s="1"/>
      <c r="AK8" s="1"/>
      <c r="AL8" s="1"/>
      <c r="AM8" s="1"/>
      <c r="AN8" s="1"/>
      <c r="AO8" s="1"/>
      <c r="AP8" s="1"/>
      <c r="AQ8" s="4"/>
      <c r="AS8" s="108"/>
      <c r="AT8" s="15"/>
      <c r="AU8" s="1"/>
      <c r="AV8" s="1"/>
      <c r="AW8" s="1"/>
      <c r="AX8" s="1"/>
      <c r="AY8" s="1"/>
      <c r="AZ8" s="1"/>
      <c r="BA8" s="1"/>
      <c r="BB8" s="1"/>
      <c r="BC8" s="52"/>
      <c r="BD8" s="1"/>
      <c r="BE8" s="1"/>
      <c r="BF8" s="1"/>
      <c r="BG8" s="1"/>
      <c r="BH8" s="1"/>
      <c r="BI8" s="1"/>
      <c r="BJ8" s="1"/>
      <c r="BK8" s="1"/>
      <c r="BL8" s="1"/>
      <c r="BM8" s="4"/>
    </row>
    <row r="9" spans="1:65" x14ac:dyDescent="0.2">
      <c r="A9" s="108"/>
      <c r="B9" s="168" t="s">
        <v>37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"/>
      <c r="R9" s="1"/>
      <c r="S9" s="1"/>
      <c r="T9" s="1"/>
      <c r="U9" s="4"/>
      <c r="W9" s="108"/>
      <c r="X9" s="160" t="s">
        <v>33</v>
      </c>
      <c r="Y9" s="161"/>
      <c r="Z9" s="161"/>
      <c r="AA9" s="161"/>
      <c r="AB9" s="161"/>
      <c r="AC9" s="161"/>
      <c r="AD9" s="161"/>
      <c r="AE9" s="161"/>
      <c r="AF9" s="161"/>
      <c r="AG9" s="162"/>
      <c r="AH9" s="1"/>
      <c r="AI9" s="1"/>
      <c r="AJ9" s="1"/>
      <c r="AK9" s="1"/>
      <c r="AL9" s="1"/>
      <c r="AM9" s="1"/>
      <c r="AN9" s="1"/>
      <c r="AO9" s="1"/>
      <c r="AP9" s="1"/>
      <c r="AQ9" s="4"/>
      <c r="AS9" s="108"/>
      <c r="AT9" s="160" t="s">
        <v>33</v>
      </c>
      <c r="AU9" s="161"/>
      <c r="AV9" s="161"/>
      <c r="AW9" s="161"/>
      <c r="AX9" s="161"/>
      <c r="AY9" s="161"/>
      <c r="AZ9" s="161"/>
      <c r="BA9" s="161"/>
      <c r="BB9" s="161"/>
      <c r="BC9" s="162"/>
      <c r="BD9" s="1"/>
      <c r="BE9" s="1"/>
      <c r="BF9" s="1"/>
      <c r="BG9" s="1"/>
      <c r="BH9" s="1"/>
      <c r="BI9" s="1"/>
      <c r="BJ9" s="1"/>
      <c r="BK9" s="1"/>
      <c r="BL9" s="1"/>
      <c r="BM9" s="4"/>
    </row>
    <row r="10" spans="1:65" ht="16" customHeight="1" x14ac:dyDescent="0.2">
      <c r="A10" s="108"/>
      <c r="B10" s="147" t="s">
        <v>9</v>
      </c>
      <c r="C10" s="81" t="s">
        <v>3</v>
      </c>
      <c r="D10" s="82" t="s">
        <v>5</v>
      </c>
      <c r="E10" s="83" t="s">
        <v>4</v>
      </c>
      <c r="F10" s="121" t="s">
        <v>10</v>
      </c>
      <c r="G10" s="122"/>
      <c r="H10" s="122"/>
      <c r="I10" s="122"/>
      <c r="J10" s="122"/>
      <c r="K10" s="123"/>
      <c r="L10" s="81" t="s">
        <v>3</v>
      </c>
      <c r="M10" s="82" t="s">
        <v>5</v>
      </c>
      <c r="N10" s="83" t="s">
        <v>4</v>
      </c>
      <c r="O10" s="165" t="s">
        <v>29</v>
      </c>
      <c r="P10" s="167"/>
      <c r="Q10" s="1"/>
      <c r="R10" s="1"/>
      <c r="S10" s="1"/>
      <c r="T10" s="1"/>
      <c r="U10" s="4"/>
      <c r="W10" s="108"/>
      <c r="X10" s="147" t="s">
        <v>9</v>
      </c>
      <c r="Y10" s="81" t="s">
        <v>3</v>
      </c>
      <c r="Z10" s="82" t="s">
        <v>5</v>
      </c>
      <c r="AA10" s="83" t="s">
        <v>4</v>
      </c>
      <c r="AB10" s="121" t="s">
        <v>10</v>
      </c>
      <c r="AC10" s="122"/>
      <c r="AD10" s="122"/>
      <c r="AE10" s="122"/>
      <c r="AF10" s="122"/>
      <c r="AG10" s="123"/>
      <c r="AH10" s="1"/>
      <c r="AI10" s="1"/>
      <c r="AJ10" s="1"/>
      <c r="AK10" s="1"/>
      <c r="AL10" s="1"/>
      <c r="AM10" s="1"/>
      <c r="AN10" s="1"/>
      <c r="AO10" s="1"/>
      <c r="AP10" s="1"/>
      <c r="AQ10" s="4"/>
      <c r="AS10" s="108"/>
      <c r="AT10" s="147" t="s">
        <v>9</v>
      </c>
      <c r="AU10" s="81" t="s">
        <v>3</v>
      </c>
      <c r="AV10" s="82" t="s">
        <v>5</v>
      </c>
      <c r="AW10" s="83" t="s">
        <v>4</v>
      </c>
      <c r="AX10" s="121" t="s">
        <v>10</v>
      </c>
      <c r="AY10" s="122"/>
      <c r="AZ10" s="122"/>
      <c r="BA10" s="122"/>
      <c r="BB10" s="122"/>
      <c r="BC10" s="123"/>
      <c r="BD10" s="1"/>
      <c r="BE10" s="1"/>
      <c r="BF10" s="1"/>
      <c r="BG10" s="1"/>
      <c r="BH10" s="1"/>
      <c r="BI10" s="1"/>
      <c r="BJ10" s="1"/>
      <c r="BK10" s="1"/>
      <c r="BL10" s="1"/>
      <c r="BM10" s="4"/>
    </row>
    <row r="11" spans="1:65" x14ac:dyDescent="0.2">
      <c r="A11" s="108"/>
      <c r="B11" s="131"/>
      <c r="C11" s="128" t="s">
        <v>11</v>
      </c>
      <c r="D11" s="117"/>
      <c r="E11" s="118"/>
      <c r="F11" s="9">
        <v>8</v>
      </c>
      <c r="G11" s="9">
        <v>7</v>
      </c>
      <c r="H11" s="9">
        <v>9</v>
      </c>
      <c r="I11" s="9">
        <v>10</v>
      </c>
      <c r="J11" s="9">
        <v>11</v>
      </c>
      <c r="K11" s="10">
        <v>6</v>
      </c>
      <c r="L11" s="128" t="s">
        <v>11</v>
      </c>
      <c r="M11" s="117"/>
      <c r="N11" s="118"/>
      <c r="O11" s="9">
        <v>8</v>
      </c>
      <c r="P11" s="10">
        <v>6</v>
      </c>
      <c r="Q11" s="1"/>
      <c r="R11" s="1"/>
      <c r="S11" s="1"/>
      <c r="T11" s="1"/>
      <c r="U11" s="4"/>
      <c r="W11" s="108"/>
      <c r="X11" s="131"/>
      <c r="Y11" s="128" t="s">
        <v>11</v>
      </c>
      <c r="Z11" s="117"/>
      <c r="AA11" s="118"/>
      <c r="AB11" s="9">
        <v>8</v>
      </c>
      <c r="AC11" s="9">
        <v>7</v>
      </c>
      <c r="AD11" s="9">
        <v>9</v>
      </c>
      <c r="AE11" s="9">
        <v>10</v>
      </c>
      <c r="AF11" s="9">
        <v>11</v>
      </c>
      <c r="AG11" s="10">
        <v>6</v>
      </c>
      <c r="AH11" s="1"/>
      <c r="AI11" s="1"/>
      <c r="AJ11" s="1"/>
      <c r="AK11" s="1"/>
      <c r="AL11" s="1"/>
      <c r="AM11" s="1"/>
      <c r="AN11" s="1"/>
      <c r="AO11" s="1"/>
      <c r="AP11" s="1"/>
      <c r="AQ11" s="4"/>
      <c r="AS11" s="108"/>
      <c r="AT11" s="131"/>
      <c r="AU11" s="128" t="s">
        <v>11</v>
      </c>
      <c r="AV11" s="117"/>
      <c r="AW11" s="118"/>
      <c r="AX11" s="9">
        <v>8</v>
      </c>
      <c r="AY11" s="9">
        <v>7</v>
      </c>
      <c r="AZ11" s="9">
        <v>9</v>
      </c>
      <c r="BA11" s="9">
        <v>10</v>
      </c>
      <c r="BB11" s="9">
        <v>11</v>
      </c>
      <c r="BC11" s="10">
        <v>6</v>
      </c>
      <c r="BD11" s="1"/>
      <c r="BE11" s="1"/>
      <c r="BF11" s="1"/>
      <c r="BG11" s="1"/>
      <c r="BH11" s="1"/>
      <c r="BI11" s="1"/>
      <c r="BJ11" s="1"/>
      <c r="BK11" s="1"/>
      <c r="BL11" s="1"/>
      <c r="BM11" s="4"/>
    </row>
    <row r="12" spans="1:65" x14ac:dyDescent="0.2">
      <c r="A12" s="108"/>
      <c r="B12" s="44">
        <v>1.05</v>
      </c>
      <c r="C12" s="20" t="e">
        <f>AVERAGE(F12:K12)</f>
        <v>#DIV/0!</v>
      </c>
      <c r="D12" s="18" t="e">
        <f>STDEV(F12:K12)</f>
        <v>#DIV/0!</v>
      </c>
      <c r="E12" s="11">
        <f>COUNT(F12:K12)</f>
        <v>0</v>
      </c>
      <c r="F12" s="18"/>
      <c r="G12" s="18"/>
      <c r="H12" s="18"/>
      <c r="I12" s="18"/>
      <c r="J12" s="18"/>
      <c r="K12" s="11"/>
      <c r="L12" s="42" t="e">
        <f>AVERAGE(O12:P12)</f>
        <v>#DIV/0!</v>
      </c>
      <c r="M12" s="16" t="e">
        <f>STDEV(O12:P12)</f>
        <v>#DIV/0!</v>
      </c>
      <c r="N12" s="17">
        <f>COUNT(O12:P12)</f>
        <v>0</v>
      </c>
      <c r="O12" s="1"/>
      <c r="P12" s="4"/>
      <c r="Q12" s="1"/>
      <c r="R12" s="1"/>
      <c r="S12" s="1"/>
      <c r="T12" s="1"/>
      <c r="U12" s="4"/>
      <c r="W12" s="108"/>
      <c r="X12" s="44">
        <v>1.05</v>
      </c>
      <c r="Y12" s="20" t="e">
        <f>AVERAGE(AB12:AG12)</f>
        <v>#DIV/0!</v>
      </c>
      <c r="Z12" s="18" t="e">
        <f>STDEV(AB12:AG12)</f>
        <v>#DIV/0!</v>
      </c>
      <c r="AA12" s="11">
        <f>COUNT(AB12:AG12)</f>
        <v>0</v>
      </c>
      <c r="AB12" s="88"/>
      <c r="AC12" s="16"/>
      <c r="AD12" s="16"/>
      <c r="AE12" s="16"/>
      <c r="AF12" s="16"/>
      <c r="AG12" s="17"/>
      <c r="AH12" s="1"/>
      <c r="AI12" s="1"/>
      <c r="AJ12" s="1"/>
      <c r="AK12" s="1"/>
      <c r="AL12" s="1"/>
      <c r="AM12" s="1"/>
      <c r="AN12" s="1"/>
      <c r="AO12" s="1"/>
      <c r="AP12" s="1"/>
      <c r="AQ12" s="4"/>
      <c r="AS12" s="108"/>
      <c r="AT12" s="44">
        <v>1.05</v>
      </c>
      <c r="AU12" s="20" t="e">
        <f>AVERAGE(AX12:BC12)</f>
        <v>#DIV/0!</v>
      </c>
      <c r="AV12" s="18" t="e">
        <f>STDEV(AX12:BC12)</f>
        <v>#DIV/0!</v>
      </c>
      <c r="AW12" s="11">
        <f>COUNT(AX12:BC12)</f>
        <v>0</v>
      </c>
      <c r="AX12" s="42"/>
      <c r="AY12" s="16"/>
      <c r="AZ12" s="16"/>
      <c r="BA12" s="16"/>
      <c r="BB12" s="16"/>
      <c r="BC12" s="17"/>
      <c r="BD12" s="1"/>
      <c r="BE12" s="1"/>
      <c r="BF12" s="1"/>
      <c r="BG12" s="1"/>
      <c r="BH12" s="1"/>
      <c r="BI12" s="1"/>
      <c r="BJ12" s="1"/>
      <c r="BK12" s="1"/>
      <c r="BL12" s="1"/>
      <c r="BM12" s="4"/>
    </row>
    <row r="13" spans="1:65" x14ac:dyDescent="0.2">
      <c r="A13" s="108"/>
      <c r="B13" s="59">
        <v>2</v>
      </c>
      <c r="C13" s="20" t="e">
        <f t="shared" ref="C13:C19" si="0">AVERAGE(F13:K13)</f>
        <v>#DIV/0!</v>
      </c>
      <c r="D13" s="18" t="e">
        <f t="shared" ref="D13:D19" si="1">STDEV(F13:K13)</f>
        <v>#DIV/0!</v>
      </c>
      <c r="E13" s="11">
        <f t="shared" ref="E13:E19" si="2">COUNT(F13:K13)</f>
        <v>0</v>
      </c>
      <c r="F13" s="18"/>
      <c r="G13" s="18"/>
      <c r="H13" s="18"/>
      <c r="I13" s="18"/>
      <c r="J13" s="18"/>
      <c r="K13" s="11"/>
      <c r="L13" s="20" t="e">
        <f t="shared" ref="L13:L19" si="3">AVERAGE(O13:P13)</f>
        <v>#DIV/0!</v>
      </c>
      <c r="M13" s="18" t="e">
        <f t="shared" ref="M13:M19" si="4">STDEV(O13:P13)</f>
        <v>#DIV/0!</v>
      </c>
      <c r="N13" s="11">
        <f t="shared" ref="N13:N19" si="5">COUNT(O13:P13)</f>
        <v>0</v>
      </c>
      <c r="O13" s="1"/>
      <c r="P13" s="4"/>
      <c r="Q13" s="1"/>
      <c r="R13" s="1"/>
      <c r="S13" s="1"/>
      <c r="T13" s="1"/>
      <c r="U13" s="4"/>
      <c r="W13" s="108"/>
      <c r="X13" s="59">
        <v>2</v>
      </c>
      <c r="Y13" s="20" t="e">
        <f t="shared" ref="Y13:Y19" si="6">AVERAGE(AB13:AG13)</f>
        <v>#DIV/0!</v>
      </c>
      <c r="Z13" s="18" t="e">
        <f t="shared" ref="Z13:Z19" si="7">STDEV(AB13:AG13)</f>
        <v>#DIV/0!</v>
      </c>
      <c r="AA13" s="11">
        <f t="shared" ref="AA13:AA19" si="8">COUNT(AB13:AG13)</f>
        <v>0</v>
      </c>
      <c r="AB13" s="84"/>
      <c r="AC13" s="18"/>
      <c r="AD13" s="18"/>
      <c r="AE13" s="18"/>
      <c r="AF13" s="18"/>
      <c r="AG13" s="11"/>
      <c r="AH13" s="1"/>
      <c r="AI13" s="1"/>
      <c r="AJ13" s="1"/>
      <c r="AK13" s="1"/>
      <c r="AL13" s="1"/>
      <c r="AM13" s="1"/>
      <c r="AN13" s="1"/>
      <c r="AO13" s="1"/>
      <c r="AP13" s="1"/>
      <c r="AQ13" s="4"/>
      <c r="AS13" s="108"/>
      <c r="AT13" s="59">
        <v>2</v>
      </c>
      <c r="AU13" s="20" t="e">
        <f t="shared" ref="AU13:AU19" si="9">AVERAGE(AX13:BC13)</f>
        <v>#DIV/0!</v>
      </c>
      <c r="AV13" s="18" t="e">
        <f t="shared" ref="AV13:AV19" si="10">STDEV(AX13:BC13)</f>
        <v>#DIV/0!</v>
      </c>
      <c r="AW13" s="11">
        <f t="shared" ref="AW13:AW19" si="11">COUNT(AX13:BC13)</f>
        <v>0</v>
      </c>
      <c r="AX13" s="20"/>
      <c r="AY13" s="18"/>
      <c r="AZ13" s="18"/>
      <c r="BA13" s="18"/>
      <c r="BB13" s="18"/>
      <c r="BC13" s="11"/>
      <c r="BD13" s="1"/>
      <c r="BE13" s="1"/>
      <c r="BF13" s="1"/>
      <c r="BG13" s="1"/>
      <c r="BH13" s="1"/>
      <c r="BI13" s="1"/>
      <c r="BJ13" s="1"/>
      <c r="BK13" s="1"/>
      <c r="BL13" s="1"/>
      <c r="BM13" s="4"/>
    </row>
    <row r="14" spans="1:65" x14ac:dyDescent="0.2">
      <c r="A14" s="108"/>
      <c r="B14" s="44">
        <v>2.79</v>
      </c>
      <c r="C14" s="20">
        <f t="shared" si="0"/>
        <v>23.347237586975027</v>
      </c>
      <c r="D14" s="18">
        <f t="shared" si="1"/>
        <v>5.9593790641133246</v>
      </c>
      <c r="E14" s="11">
        <f t="shared" si="2"/>
        <v>4</v>
      </c>
      <c r="F14" s="90">
        <v>28.698997497558501</v>
      </c>
      <c r="G14" s="18"/>
      <c r="H14" s="90">
        <v>15.185935974121</v>
      </c>
      <c r="I14" s="90">
        <v>22.8352851867675</v>
      </c>
      <c r="J14" s="90">
        <v>26.6687316894531</v>
      </c>
      <c r="K14" s="11"/>
      <c r="L14" s="20" t="e">
        <f t="shared" si="3"/>
        <v>#DIV/0!</v>
      </c>
      <c r="M14" s="18" t="e">
        <f t="shared" si="4"/>
        <v>#DIV/0!</v>
      </c>
      <c r="N14" s="11">
        <f t="shared" si="5"/>
        <v>0</v>
      </c>
      <c r="O14" s="1"/>
      <c r="P14" s="4"/>
      <c r="Q14" s="1"/>
      <c r="R14" s="1"/>
      <c r="S14" s="1"/>
      <c r="T14" s="1"/>
      <c r="U14" s="4"/>
      <c r="W14" s="108"/>
      <c r="X14" s="44">
        <v>2.79</v>
      </c>
      <c r="Y14" s="20">
        <f t="shared" si="6"/>
        <v>15.5603332519531</v>
      </c>
      <c r="Z14" s="18" t="e">
        <f t="shared" si="7"/>
        <v>#DIV/0!</v>
      </c>
      <c r="AA14" s="11">
        <f t="shared" si="8"/>
        <v>1</v>
      </c>
      <c r="AB14" s="84"/>
      <c r="AC14" s="18"/>
      <c r="AD14" s="18"/>
      <c r="AE14" s="18"/>
      <c r="AF14" s="40">
        <v>15.5603332519531</v>
      </c>
      <c r="AG14" s="11"/>
      <c r="AH14" s="1"/>
      <c r="AI14" s="1"/>
      <c r="AJ14" s="1"/>
      <c r="AK14" s="1"/>
      <c r="AL14" s="1"/>
      <c r="AM14" s="1"/>
      <c r="AN14" s="1"/>
      <c r="AO14" s="1"/>
      <c r="AP14" s="1"/>
      <c r="AQ14" s="4"/>
      <c r="AS14" s="108"/>
      <c r="AT14" s="44">
        <v>2.79</v>
      </c>
      <c r="AU14" s="20">
        <f t="shared" si="9"/>
        <v>66.477799303135001</v>
      </c>
      <c r="AV14" s="18">
        <f t="shared" si="10"/>
        <v>11.233385733573238</v>
      </c>
      <c r="AW14" s="11">
        <f t="shared" si="11"/>
        <v>4</v>
      </c>
      <c r="AX14" s="20">
        <v>65.385859197511806</v>
      </c>
      <c r="AY14" s="18"/>
      <c r="AZ14" s="18">
        <v>51.763889907103099</v>
      </c>
      <c r="BA14" s="18">
        <v>78.621181751803107</v>
      </c>
      <c r="BB14" s="18">
        <v>70.140266356121998</v>
      </c>
      <c r="BC14" s="11"/>
      <c r="BD14" s="1"/>
      <c r="BE14" s="1"/>
      <c r="BF14" s="1"/>
      <c r="BG14" s="1"/>
      <c r="BH14" s="1"/>
      <c r="BI14" s="1"/>
      <c r="BJ14" s="1"/>
      <c r="BK14" s="1"/>
      <c r="BL14" s="1"/>
      <c r="BM14" s="4"/>
    </row>
    <row r="15" spans="1:65" x14ac:dyDescent="0.2">
      <c r="A15" s="108"/>
      <c r="B15" s="44">
        <v>5.35</v>
      </c>
      <c r="C15" s="20">
        <f t="shared" si="0"/>
        <v>22.271492958068777</v>
      </c>
      <c r="D15" s="18">
        <f t="shared" si="1"/>
        <v>5.398210793522038</v>
      </c>
      <c r="E15" s="11">
        <f t="shared" si="2"/>
        <v>4</v>
      </c>
      <c r="F15" s="90">
        <v>26.532249450683501</v>
      </c>
      <c r="G15" s="18"/>
      <c r="H15" s="90">
        <v>14.606101989746</v>
      </c>
      <c r="I15" s="90">
        <v>22.4385566711425</v>
      </c>
      <c r="J15" s="90">
        <v>25.5090637207031</v>
      </c>
      <c r="K15" s="11"/>
      <c r="L15" s="20" t="e">
        <f t="shared" si="3"/>
        <v>#DIV/0!</v>
      </c>
      <c r="M15" s="18" t="e">
        <f t="shared" si="4"/>
        <v>#DIV/0!</v>
      </c>
      <c r="N15" s="11">
        <f t="shared" si="5"/>
        <v>0</v>
      </c>
      <c r="O15" s="1"/>
      <c r="P15" s="4"/>
      <c r="Q15" s="1"/>
      <c r="R15" s="1"/>
      <c r="S15" s="1"/>
      <c r="T15" s="1"/>
      <c r="U15" s="4"/>
      <c r="W15" s="108"/>
      <c r="X15" s="44">
        <v>5.35</v>
      </c>
      <c r="Y15" s="20">
        <f t="shared" si="6"/>
        <v>15.1330871582031</v>
      </c>
      <c r="Z15" s="18" t="e">
        <f t="shared" si="7"/>
        <v>#DIV/0!</v>
      </c>
      <c r="AA15" s="11">
        <f t="shared" si="8"/>
        <v>1</v>
      </c>
      <c r="AB15" s="84"/>
      <c r="AC15" s="18"/>
      <c r="AD15" s="18"/>
      <c r="AE15" s="18"/>
      <c r="AF15" s="40">
        <v>15.1330871582031</v>
      </c>
      <c r="AG15" s="11"/>
      <c r="AH15" s="1"/>
      <c r="AI15" s="1"/>
      <c r="AJ15" s="1"/>
      <c r="AK15" s="1"/>
      <c r="AL15" s="1"/>
      <c r="AM15" s="1"/>
      <c r="AN15" s="1"/>
      <c r="AO15" s="1"/>
      <c r="AP15" s="1"/>
      <c r="AQ15" s="4"/>
      <c r="AS15" s="108"/>
      <c r="AT15" s="44">
        <v>5.35</v>
      </c>
      <c r="AU15" s="20">
        <f t="shared" si="9"/>
        <v>65.364724783374655</v>
      </c>
      <c r="AV15" s="18">
        <f t="shared" si="10"/>
        <v>10.61440570240158</v>
      </c>
      <c r="AW15" s="11">
        <f t="shared" si="11"/>
        <v>4</v>
      </c>
      <c r="AX15" s="20">
        <v>63.821840164315198</v>
      </c>
      <c r="AY15" s="18"/>
      <c r="AZ15" s="18">
        <v>51.990125793994501</v>
      </c>
      <c r="BA15" s="18">
        <v>77.591630572140204</v>
      </c>
      <c r="BB15" s="18">
        <v>68.055302603048702</v>
      </c>
      <c r="BC15" s="11"/>
      <c r="BD15" s="1"/>
      <c r="BE15" s="1"/>
      <c r="BF15" s="1"/>
      <c r="BG15" s="1"/>
      <c r="BH15" s="1"/>
      <c r="BI15" s="1"/>
      <c r="BJ15" s="1"/>
      <c r="BK15" s="1"/>
      <c r="BL15" s="1"/>
      <c r="BM15" s="4"/>
    </row>
    <row r="16" spans="1:65" x14ac:dyDescent="0.2">
      <c r="A16" s="108"/>
      <c r="B16" s="44">
        <v>10</v>
      </c>
      <c r="C16" s="20">
        <f t="shared" si="0"/>
        <v>22.523262977600027</v>
      </c>
      <c r="D16" s="18">
        <f t="shared" si="1"/>
        <v>5.5029549520037051</v>
      </c>
      <c r="E16" s="11">
        <f t="shared" si="2"/>
        <v>4</v>
      </c>
      <c r="F16" s="90">
        <v>27.264671325683501</v>
      </c>
      <c r="G16" s="18"/>
      <c r="H16" s="90">
        <v>14.850242614746</v>
      </c>
      <c r="I16" s="90">
        <v>22.3775215148925</v>
      </c>
      <c r="J16" s="90">
        <v>25.6006164550781</v>
      </c>
      <c r="K16" s="11"/>
      <c r="L16" s="20" t="e">
        <f t="shared" si="3"/>
        <v>#DIV/0!</v>
      </c>
      <c r="M16" s="18" t="e">
        <f t="shared" si="4"/>
        <v>#DIV/0!</v>
      </c>
      <c r="N16" s="11">
        <f t="shared" si="5"/>
        <v>0</v>
      </c>
      <c r="O16" s="1"/>
      <c r="P16" s="4"/>
      <c r="Q16" s="1"/>
      <c r="R16" s="1"/>
      <c r="S16" s="1"/>
      <c r="T16" s="1"/>
      <c r="U16" s="4"/>
      <c r="W16" s="108"/>
      <c r="X16" s="44">
        <v>10</v>
      </c>
      <c r="Y16" s="20">
        <f t="shared" si="6"/>
        <v>14.7973937988281</v>
      </c>
      <c r="Z16" s="18" t="e">
        <f t="shared" si="7"/>
        <v>#DIV/0!</v>
      </c>
      <c r="AA16" s="11">
        <f t="shared" si="8"/>
        <v>1</v>
      </c>
      <c r="AB16" s="84"/>
      <c r="AC16" s="18"/>
      <c r="AD16" s="18"/>
      <c r="AE16" s="18"/>
      <c r="AF16" s="40">
        <v>14.7973937988281</v>
      </c>
      <c r="AG16" s="11"/>
      <c r="AH16" s="1"/>
      <c r="AI16" s="1"/>
      <c r="AJ16" s="1"/>
      <c r="AK16" s="1"/>
      <c r="AL16" s="1"/>
      <c r="AM16" s="1"/>
      <c r="AN16" s="1"/>
      <c r="AO16" s="1"/>
      <c r="AP16" s="1"/>
      <c r="AQ16" s="4"/>
      <c r="AS16" s="108"/>
      <c r="AT16" s="44">
        <v>10</v>
      </c>
      <c r="AU16" s="20">
        <f t="shared" si="9"/>
        <v>66.134626365687652</v>
      </c>
      <c r="AV16" s="18">
        <f t="shared" si="10"/>
        <v>10.976297134837745</v>
      </c>
      <c r="AW16" s="11">
        <f t="shared" si="11"/>
        <v>4</v>
      </c>
      <c r="AX16" s="20">
        <v>64.340871243361406</v>
      </c>
      <c r="AY16" s="18"/>
      <c r="AZ16" s="18">
        <v>51.809082908400001</v>
      </c>
      <c r="BA16" s="18">
        <v>77.591528239706093</v>
      </c>
      <c r="BB16" s="18">
        <v>70.797023071283107</v>
      </c>
      <c r="BC16" s="11"/>
      <c r="BD16" s="1"/>
      <c r="BE16" s="1"/>
      <c r="BF16" s="1"/>
      <c r="BG16" s="1"/>
      <c r="BH16" s="1"/>
      <c r="BI16" s="1"/>
      <c r="BJ16" s="1"/>
      <c r="BK16" s="1"/>
      <c r="BL16" s="1"/>
      <c r="BM16" s="4"/>
    </row>
    <row r="17" spans="1:65" x14ac:dyDescent="0.2">
      <c r="A17" s="108"/>
      <c r="B17" s="45">
        <v>15</v>
      </c>
      <c r="C17" s="20" t="e">
        <f t="shared" si="0"/>
        <v>#DIV/0!</v>
      </c>
      <c r="D17" s="18" t="e">
        <f t="shared" si="1"/>
        <v>#DIV/0!</v>
      </c>
      <c r="E17" s="11">
        <f t="shared" si="2"/>
        <v>0</v>
      </c>
      <c r="F17" s="91"/>
      <c r="G17" s="18"/>
      <c r="H17" s="91"/>
      <c r="I17" s="91"/>
      <c r="J17" s="91"/>
      <c r="K17" s="11"/>
      <c r="L17" s="20" t="e">
        <f t="shared" si="3"/>
        <v>#DIV/0!</v>
      </c>
      <c r="M17" s="18" t="e">
        <f t="shared" si="4"/>
        <v>#DIV/0!</v>
      </c>
      <c r="N17" s="11">
        <f t="shared" si="5"/>
        <v>0</v>
      </c>
      <c r="O17" s="1"/>
      <c r="P17" s="4"/>
      <c r="Q17" s="1"/>
      <c r="R17" s="1"/>
      <c r="S17" s="1"/>
      <c r="T17" s="1"/>
      <c r="U17" s="4"/>
      <c r="W17" s="108"/>
      <c r="X17" s="45">
        <v>15</v>
      </c>
      <c r="Y17" s="20" t="e">
        <f t="shared" si="6"/>
        <v>#DIV/0!</v>
      </c>
      <c r="Z17" s="18" t="e">
        <f t="shared" si="7"/>
        <v>#DIV/0!</v>
      </c>
      <c r="AA17" s="11">
        <f t="shared" si="8"/>
        <v>0</v>
      </c>
      <c r="AB17" s="20"/>
      <c r="AC17" s="18"/>
      <c r="AD17" s="18"/>
      <c r="AE17" s="18"/>
      <c r="AF17" s="18"/>
      <c r="AG17" s="11"/>
      <c r="AH17" s="1"/>
      <c r="AI17" s="1"/>
      <c r="AJ17" s="1"/>
      <c r="AK17" s="1"/>
      <c r="AL17" s="1"/>
      <c r="AM17" s="1"/>
      <c r="AN17" s="1"/>
      <c r="AO17" s="1"/>
      <c r="AP17" s="1"/>
      <c r="AQ17" s="4"/>
      <c r="AS17" s="108"/>
      <c r="AT17" s="45">
        <v>15</v>
      </c>
      <c r="AU17" s="20" t="e">
        <f t="shared" si="9"/>
        <v>#DIV/0!</v>
      </c>
      <c r="AV17" s="18" t="e">
        <f t="shared" si="10"/>
        <v>#DIV/0!</v>
      </c>
      <c r="AW17" s="11">
        <f t="shared" si="11"/>
        <v>0</v>
      </c>
      <c r="AX17" s="20"/>
      <c r="AY17" s="18"/>
      <c r="AZ17" s="18"/>
      <c r="BA17" s="18"/>
      <c r="BB17" s="18"/>
      <c r="BC17" s="11"/>
      <c r="BD17" s="1"/>
      <c r="BE17" s="1"/>
      <c r="BF17" s="1"/>
      <c r="BG17" s="1"/>
      <c r="BH17" s="1"/>
      <c r="BI17" s="1"/>
      <c r="BJ17" s="1"/>
      <c r="BK17" s="1"/>
      <c r="BL17" s="1"/>
      <c r="BM17" s="4"/>
    </row>
    <row r="18" spans="1:65" x14ac:dyDescent="0.2">
      <c r="A18" s="108"/>
      <c r="B18" s="44">
        <v>20.23</v>
      </c>
      <c r="C18" s="20">
        <f t="shared" si="0"/>
        <v>22.286751747131277</v>
      </c>
      <c r="D18" s="18">
        <f t="shared" si="1"/>
        <v>5.8533224946425557</v>
      </c>
      <c r="E18" s="11">
        <f t="shared" si="2"/>
        <v>4</v>
      </c>
      <c r="F18" s="90">
        <v>27.142601013183501</v>
      </c>
      <c r="G18" s="18"/>
      <c r="H18" s="90">
        <v>14.148338317871</v>
      </c>
      <c r="I18" s="90">
        <v>21.9807929992675</v>
      </c>
      <c r="J18" s="90">
        <v>25.8752746582031</v>
      </c>
      <c r="K18" s="11"/>
      <c r="L18" s="20" t="e">
        <f t="shared" si="3"/>
        <v>#DIV/0!</v>
      </c>
      <c r="M18" s="18" t="e">
        <f t="shared" si="4"/>
        <v>#DIV/0!</v>
      </c>
      <c r="N18" s="11">
        <f t="shared" si="5"/>
        <v>0</v>
      </c>
      <c r="O18" s="1"/>
      <c r="P18" s="4"/>
      <c r="Q18" s="1"/>
      <c r="R18" s="1"/>
      <c r="S18" s="1"/>
      <c r="T18" s="1"/>
      <c r="U18" s="4"/>
      <c r="W18" s="108"/>
      <c r="X18" s="44">
        <v>20.23</v>
      </c>
      <c r="Y18" s="20">
        <f t="shared" si="6"/>
        <v>14.6753234863281</v>
      </c>
      <c r="Z18" s="18" t="e">
        <f t="shared" si="7"/>
        <v>#DIV/0!</v>
      </c>
      <c r="AA18" s="11">
        <f t="shared" si="8"/>
        <v>1</v>
      </c>
      <c r="AB18" s="84"/>
      <c r="AC18" s="18"/>
      <c r="AD18" s="18"/>
      <c r="AE18" s="18"/>
      <c r="AF18" s="40">
        <v>14.6753234863281</v>
      </c>
      <c r="AG18" s="11"/>
      <c r="AH18" s="1"/>
      <c r="AI18" s="1"/>
      <c r="AJ18" s="1"/>
      <c r="AK18" s="1"/>
      <c r="AL18" s="1"/>
      <c r="AM18" s="1"/>
      <c r="AN18" s="1"/>
      <c r="AO18" s="1"/>
      <c r="AP18" s="1"/>
      <c r="AQ18" s="4"/>
      <c r="AS18" s="108"/>
      <c r="AT18" s="44">
        <v>20.23</v>
      </c>
      <c r="AU18" s="20">
        <f t="shared" si="9"/>
        <v>65.965678388780674</v>
      </c>
      <c r="AV18" s="18">
        <f t="shared" si="10"/>
        <v>10.871144986425833</v>
      </c>
      <c r="AW18" s="11">
        <f t="shared" si="11"/>
        <v>4</v>
      </c>
      <c r="AX18" s="20">
        <v>65.012504819821004</v>
      </c>
      <c r="AY18" s="18"/>
      <c r="AZ18" s="18">
        <v>51.870265264681301</v>
      </c>
      <c r="BA18" s="18">
        <v>78.057585347844693</v>
      </c>
      <c r="BB18" s="18">
        <v>68.922358122775705</v>
      </c>
      <c r="BC18" s="11"/>
      <c r="BD18" s="1"/>
      <c r="BE18" s="1"/>
      <c r="BF18" s="1"/>
      <c r="BG18" s="1"/>
      <c r="BH18" s="1"/>
      <c r="BI18" s="1"/>
      <c r="BJ18" s="1"/>
      <c r="BK18" s="1"/>
      <c r="BL18" s="1"/>
      <c r="BM18" s="4"/>
    </row>
    <row r="19" spans="1:65" x14ac:dyDescent="0.2">
      <c r="A19" s="108"/>
      <c r="B19" s="46">
        <v>30.47</v>
      </c>
      <c r="C19" s="8">
        <f t="shared" si="0"/>
        <v>20.447771072387649</v>
      </c>
      <c r="D19" s="9">
        <f t="shared" si="1"/>
        <v>3.0987192101433925</v>
      </c>
      <c r="E19" s="10">
        <f t="shared" si="2"/>
        <v>4</v>
      </c>
      <c r="F19" s="96"/>
      <c r="G19" s="95">
        <v>17.271659851074201</v>
      </c>
      <c r="H19" s="95">
        <v>18.3714294433593</v>
      </c>
      <c r="I19" s="95">
        <v>23.627700805663999</v>
      </c>
      <c r="J19" s="95">
        <v>22.5202941894531</v>
      </c>
      <c r="K19" s="10"/>
      <c r="L19" s="8">
        <f t="shared" si="3"/>
        <v>78.940933227539048</v>
      </c>
      <c r="M19" s="9">
        <f t="shared" si="4"/>
        <v>3.7291423666506853</v>
      </c>
      <c r="N19" s="10">
        <f t="shared" si="5"/>
        <v>2</v>
      </c>
      <c r="O19" s="95">
        <v>76.304031372070298</v>
      </c>
      <c r="P19" s="106">
        <v>81.577835083007798</v>
      </c>
      <c r="Q19" s="1"/>
      <c r="R19" s="1"/>
      <c r="S19" s="1"/>
      <c r="T19" s="1"/>
      <c r="U19" s="4"/>
      <c r="W19" s="108"/>
      <c r="X19" s="46">
        <v>30.47</v>
      </c>
      <c r="Y19" s="8">
        <f t="shared" si="6"/>
        <v>11.088513692220038</v>
      </c>
      <c r="Z19" s="9">
        <f t="shared" si="7"/>
        <v>2.8804856748008194</v>
      </c>
      <c r="AA19" s="10">
        <f t="shared" si="8"/>
        <v>3</v>
      </c>
      <c r="AB19" s="85"/>
      <c r="AC19" s="21">
        <v>13.243339538574199</v>
      </c>
      <c r="AD19" s="21"/>
      <c r="AE19" s="21"/>
      <c r="AF19" s="21">
        <v>12.2053527832031</v>
      </c>
      <c r="AG19" s="22">
        <v>7.8168487548828098</v>
      </c>
      <c r="AH19" s="1"/>
      <c r="AI19" s="1"/>
      <c r="AJ19" s="1"/>
      <c r="AK19" s="1"/>
      <c r="AL19" s="1"/>
      <c r="AM19" s="1"/>
      <c r="AN19" s="1"/>
      <c r="AO19" s="1"/>
      <c r="AP19" s="1"/>
      <c r="AQ19" s="4"/>
      <c r="AS19" s="108"/>
      <c r="AT19" s="46">
        <v>30.47</v>
      </c>
      <c r="AU19" s="8">
        <f t="shared" si="9"/>
        <v>68.74696880014136</v>
      </c>
      <c r="AV19" s="9">
        <f t="shared" si="10"/>
        <v>15.509853550444326</v>
      </c>
      <c r="AW19" s="10">
        <f t="shared" si="11"/>
        <v>6</v>
      </c>
      <c r="AX19" s="8">
        <v>69.090414668443302</v>
      </c>
      <c r="AY19" s="9">
        <v>48.018689506512303</v>
      </c>
      <c r="AZ19" s="9">
        <v>61.098423662990797</v>
      </c>
      <c r="BA19" s="9">
        <v>90.027821701767493</v>
      </c>
      <c r="BB19" s="9">
        <v>61.195628418835597</v>
      </c>
      <c r="BC19" s="10">
        <v>83.050834842298698</v>
      </c>
      <c r="BD19" s="1"/>
      <c r="BE19" s="1"/>
      <c r="BF19" s="1"/>
      <c r="BG19" s="1"/>
      <c r="BH19" s="1"/>
      <c r="BI19" s="1"/>
      <c r="BJ19" s="1"/>
      <c r="BK19" s="1"/>
      <c r="BL19" s="1"/>
      <c r="BM19" s="4"/>
    </row>
    <row r="20" spans="1:65" x14ac:dyDescent="0.2">
      <c r="A20" s="108"/>
      <c r="B20" s="1"/>
      <c r="C20" s="1"/>
      <c r="D20" s="1"/>
      <c r="E20" s="1"/>
      <c r="F20" s="1"/>
      <c r="G20" s="40"/>
      <c r="H20" s="40"/>
      <c r="I20" s="40"/>
      <c r="J20" s="40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W20" s="108"/>
      <c r="X20" s="1"/>
      <c r="Y20" s="1"/>
      <c r="Z20" s="1"/>
      <c r="AA20" s="1"/>
      <c r="AB20" s="1"/>
      <c r="AC20" s="40"/>
      <c r="AD20" s="40"/>
      <c r="AE20" s="40"/>
      <c r="AF20" s="40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4"/>
      <c r="AS20" s="108"/>
      <c r="AT20" s="1"/>
      <c r="AU20" s="1"/>
      <c r="AV20" s="1"/>
      <c r="AW20" s="1"/>
      <c r="AX20" s="1"/>
      <c r="AY20" s="40"/>
      <c r="AZ20" s="40"/>
      <c r="BA20" s="40"/>
      <c r="BB20" s="40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</row>
    <row r="21" spans="1:65" x14ac:dyDescent="0.2">
      <c r="A21" s="108"/>
      <c r="B21" s="163" t="s">
        <v>36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"/>
      <c r="U21" s="4"/>
      <c r="W21" s="108"/>
      <c r="X21" s="148" t="s">
        <v>34</v>
      </c>
      <c r="Y21" s="149"/>
      <c r="Z21" s="149"/>
      <c r="AA21" s="149"/>
      <c r="AB21" s="149"/>
      <c r="AC21" s="149"/>
      <c r="AD21" s="149"/>
      <c r="AE21" s="149"/>
      <c r="AF21" s="149"/>
      <c r="AG21" s="149"/>
      <c r="AH21" s="150"/>
      <c r="AI21" s="38"/>
      <c r="AJ21" s="1"/>
      <c r="AK21" s="1"/>
      <c r="AL21" s="1"/>
      <c r="AM21" s="1"/>
      <c r="AN21" s="1"/>
      <c r="AO21" s="1"/>
      <c r="AP21" s="1"/>
      <c r="AQ21" s="4"/>
      <c r="AS21" s="108"/>
      <c r="AT21" s="148" t="s">
        <v>34</v>
      </c>
      <c r="AU21" s="149"/>
      <c r="AV21" s="149"/>
      <c r="AW21" s="149"/>
      <c r="AX21" s="149"/>
      <c r="AY21" s="149"/>
      <c r="AZ21" s="149"/>
      <c r="BA21" s="149"/>
      <c r="BB21" s="149"/>
      <c r="BC21" s="149"/>
      <c r="BD21" s="150"/>
      <c r="BE21" s="38"/>
      <c r="BF21" s="1"/>
      <c r="BG21" s="1"/>
      <c r="BH21" s="1"/>
      <c r="BI21" s="1"/>
      <c r="BJ21" s="1"/>
      <c r="BK21" s="1"/>
      <c r="BL21" s="1"/>
      <c r="BM21" s="4"/>
    </row>
    <row r="22" spans="1:65" x14ac:dyDescent="0.2">
      <c r="A22" s="108"/>
      <c r="B22" s="147" t="s">
        <v>9</v>
      </c>
      <c r="C22" s="82" t="s">
        <v>3</v>
      </c>
      <c r="D22" s="82" t="s">
        <v>5</v>
      </c>
      <c r="E22" s="83" t="s">
        <v>4</v>
      </c>
      <c r="F22" s="114" t="s">
        <v>10</v>
      </c>
      <c r="G22" s="115"/>
      <c r="H22" s="115"/>
      <c r="I22" s="115"/>
      <c r="J22" s="115"/>
      <c r="K22" s="115"/>
      <c r="L22" s="116"/>
      <c r="M22" s="81" t="s">
        <v>3</v>
      </c>
      <c r="N22" s="82" t="s">
        <v>5</v>
      </c>
      <c r="O22" s="82" t="s">
        <v>4</v>
      </c>
      <c r="P22" s="165" t="s">
        <v>29</v>
      </c>
      <c r="Q22" s="166"/>
      <c r="R22" s="166"/>
      <c r="S22" s="167"/>
      <c r="T22" s="1"/>
      <c r="U22" s="4"/>
      <c r="W22" s="108"/>
      <c r="X22" s="147" t="s">
        <v>9</v>
      </c>
      <c r="Y22" s="82" t="s">
        <v>3</v>
      </c>
      <c r="Z22" s="82" t="s">
        <v>5</v>
      </c>
      <c r="AA22" s="83" t="s">
        <v>4</v>
      </c>
      <c r="AB22" s="114" t="s">
        <v>10</v>
      </c>
      <c r="AC22" s="115"/>
      <c r="AD22" s="115"/>
      <c r="AE22" s="115"/>
      <c r="AF22" s="115"/>
      <c r="AG22" s="115"/>
      <c r="AH22" s="116"/>
      <c r="AI22" s="39"/>
      <c r="AJ22" s="1"/>
      <c r="AK22" s="1"/>
      <c r="AL22" s="1"/>
      <c r="AM22" s="1"/>
      <c r="AN22" s="1"/>
      <c r="AO22" s="1"/>
      <c r="AP22" s="1"/>
      <c r="AQ22" s="4"/>
      <c r="AS22" s="108"/>
      <c r="AT22" s="147" t="s">
        <v>9</v>
      </c>
      <c r="AU22" s="82" t="s">
        <v>3</v>
      </c>
      <c r="AV22" s="82" t="s">
        <v>5</v>
      </c>
      <c r="AW22" s="83" t="s">
        <v>4</v>
      </c>
      <c r="AX22" s="114" t="s">
        <v>10</v>
      </c>
      <c r="AY22" s="115"/>
      <c r="AZ22" s="115"/>
      <c r="BA22" s="115"/>
      <c r="BB22" s="115"/>
      <c r="BC22" s="115"/>
      <c r="BD22" s="116"/>
      <c r="BE22" s="39"/>
      <c r="BF22" s="1"/>
      <c r="BG22" s="1"/>
      <c r="BH22" s="1"/>
      <c r="BI22" s="1"/>
      <c r="BJ22" s="1"/>
      <c r="BK22" s="1"/>
      <c r="BL22" s="1"/>
      <c r="BM22" s="4"/>
    </row>
    <row r="23" spans="1:65" x14ac:dyDescent="0.2">
      <c r="A23" s="108"/>
      <c r="B23" s="131"/>
      <c r="C23" s="117" t="s">
        <v>11</v>
      </c>
      <c r="D23" s="117"/>
      <c r="E23" s="118"/>
      <c r="F23" s="86">
        <v>43</v>
      </c>
      <c r="G23" s="87">
        <v>44</v>
      </c>
      <c r="H23" s="87">
        <v>45</v>
      </c>
      <c r="I23" s="87">
        <v>12</v>
      </c>
      <c r="J23" s="87">
        <v>152</v>
      </c>
      <c r="K23" s="87">
        <v>153</v>
      </c>
      <c r="L23" s="41">
        <v>155</v>
      </c>
      <c r="M23" s="129" t="s">
        <v>11</v>
      </c>
      <c r="N23" s="119"/>
      <c r="O23" s="119"/>
      <c r="P23" s="8">
        <v>43</v>
      </c>
      <c r="Q23" s="9">
        <v>44</v>
      </c>
      <c r="R23" s="9">
        <v>45</v>
      </c>
      <c r="S23" s="10">
        <v>152</v>
      </c>
      <c r="T23" s="1"/>
      <c r="U23" s="4"/>
      <c r="W23" s="108"/>
      <c r="X23" s="131"/>
      <c r="Y23" s="117" t="s">
        <v>11</v>
      </c>
      <c r="Z23" s="117"/>
      <c r="AA23" s="118"/>
      <c r="AB23" s="86">
        <v>43</v>
      </c>
      <c r="AC23" s="87">
        <v>44</v>
      </c>
      <c r="AD23" s="87">
        <v>45</v>
      </c>
      <c r="AE23" s="87">
        <v>12</v>
      </c>
      <c r="AF23" s="87">
        <v>152</v>
      </c>
      <c r="AG23" s="87">
        <v>153</v>
      </c>
      <c r="AH23" s="41">
        <v>155</v>
      </c>
      <c r="AI23" s="18"/>
      <c r="AJ23" s="1"/>
      <c r="AK23" s="1"/>
      <c r="AL23" s="1"/>
      <c r="AM23" s="1"/>
      <c r="AN23" s="1"/>
      <c r="AO23" s="1"/>
      <c r="AP23" s="1"/>
      <c r="AQ23" s="4"/>
      <c r="AS23" s="108"/>
      <c r="AT23" s="131"/>
      <c r="AU23" s="117" t="s">
        <v>11</v>
      </c>
      <c r="AV23" s="117"/>
      <c r="AW23" s="118"/>
      <c r="AX23" s="86">
        <v>43</v>
      </c>
      <c r="AY23" s="87">
        <v>44</v>
      </c>
      <c r="AZ23" s="87">
        <v>45</v>
      </c>
      <c r="BA23" s="87">
        <v>12</v>
      </c>
      <c r="BB23" s="87">
        <v>152</v>
      </c>
      <c r="BC23" s="87">
        <v>153</v>
      </c>
      <c r="BD23" s="41">
        <v>155</v>
      </c>
      <c r="BE23" s="18"/>
      <c r="BF23" s="1"/>
      <c r="BG23" s="1"/>
      <c r="BH23" s="1"/>
      <c r="BI23" s="1"/>
      <c r="BJ23" s="1"/>
      <c r="BK23" s="1"/>
      <c r="BL23" s="1"/>
      <c r="BM23" s="4"/>
    </row>
    <row r="24" spans="1:65" x14ac:dyDescent="0.2">
      <c r="A24" s="108"/>
      <c r="B24" s="44">
        <v>1.05</v>
      </c>
      <c r="C24" s="20">
        <f>AVERAGE(F24:L24)</f>
        <v>19.027304331461554</v>
      </c>
      <c r="D24" s="18">
        <f>STDEV(F24:L24)</f>
        <v>10.744626267896365</v>
      </c>
      <c r="E24" s="11">
        <f>COUNT(F24:L24)</f>
        <v>6</v>
      </c>
      <c r="F24" s="89">
        <v>33.514297485351499</v>
      </c>
      <c r="G24" s="90">
        <v>30.510452270507798</v>
      </c>
      <c r="H24" s="90"/>
      <c r="I24" s="90">
        <v>15.569107055664</v>
      </c>
      <c r="J24" s="91">
        <v>10.0726470947265</v>
      </c>
      <c r="K24" s="91">
        <v>7.1764678955078098</v>
      </c>
      <c r="L24" s="91">
        <v>17.320854187011701</v>
      </c>
      <c r="M24" s="42">
        <f>AVERAGE(P24:S24)</f>
        <v>106.837856292724</v>
      </c>
      <c r="N24" s="16" t="e">
        <f>STDEV(P24:S24)</f>
        <v>#DIV/0!</v>
      </c>
      <c r="O24" s="17">
        <f>COUNT(P24:S24)</f>
        <v>1</v>
      </c>
      <c r="P24" s="40"/>
      <c r="Q24" s="40"/>
      <c r="R24" s="40">
        <v>106.837856292724</v>
      </c>
      <c r="S24" s="11"/>
      <c r="T24" s="1"/>
      <c r="U24" s="4"/>
      <c r="W24" s="108"/>
      <c r="X24" s="44">
        <v>1.05</v>
      </c>
      <c r="Y24" s="20">
        <f>AVERAGE(AB24:AH24)</f>
        <v>13.313437809047141</v>
      </c>
      <c r="Z24" s="18">
        <f>STDEV(AB24:AH24)</f>
        <v>6.4519912954134746</v>
      </c>
      <c r="AA24" s="11">
        <f>COUNT(AB24:AH24)</f>
        <v>7</v>
      </c>
      <c r="AB24" s="42">
        <v>17.614639282226499</v>
      </c>
      <c r="AC24" s="16">
        <v>20.775344848632798</v>
      </c>
      <c r="AD24" s="16">
        <v>21.297084808349599</v>
      </c>
      <c r="AE24" s="16">
        <v>11.418716</v>
      </c>
      <c r="AF24" s="16">
        <v>7.9364166259765598</v>
      </c>
      <c r="AG24" s="16">
        <v>6.1999053955078098</v>
      </c>
      <c r="AH24" s="17">
        <v>7.9519577026367099</v>
      </c>
      <c r="AI24" s="14"/>
      <c r="AJ24" s="1"/>
      <c r="AK24" s="1"/>
      <c r="AL24" s="1"/>
      <c r="AM24" s="1"/>
      <c r="AN24" s="1"/>
      <c r="AO24" s="1"/>
      <c r="AP24" s="1"/>
      <c r="AQ24" s="4"/>
      <c r="AS24" s="108"/>
      <c r="AT24" s="44">
        <v>1.05</v>
      </c>
      <c r="AU24" s="20">
        <f>AVERAGE(AX24:BD24)</f>
        <v>210.22927641408484</v>
      </c>
      <c r="AV24" s="18">
        <f>STDEV(AX24:BD24)</f>
        <v>72.572221736443311</v>
      </c>
      <c r="AW24" s="11">
        <f>COUNT(AX24:BD24)</f>
        <v>7</v>
      </c>
      <c r="AX24" s="88">
        <v>278.46215762416801</v>
      </c>
      <c r="AY24" s="49">
        <v>259.25206944470602</v>
      </c>
      <c r="AZ24" s="49">
        <v>276.53857363794498</v>
      </c>
      <c r="BA24" s="49">
        <v>124.964873370825</v>
      </c>
      <c r="BB24" s="16">
        <v>108.804476222608</v>
      </c>
      <c r="BC24" s="16">
        <v>247.726</v>
      </c>
      <c r="BD24" s="17">
        <v>175.85678459834199</v>
      </c>
      <c r="BE24" s="14"/>
      <c r="BF24" s="1"/>
      <c r="BG24" s="1"/>
      <c r="BH24" s="1"/>
      <c r="BI24" s="1"/>
      <c r="BJ24" s="1"/>
      <c r="BK24" s="1"/>
      <c r="BL24" s="1"/>
      <c r="BM24" s="4"/>
    </row>
    <row r="25" spans="1:65" x14ac:dyDescent="0.2">
      <c r="A25" s="108"/>
      <c r="B25" s="59">
        <v>2</v>
      </c>
      <c r="C25" s="20">
        <f t="shared" ref="C25:C31" si="12">AVERAGE(F25:L25)</f>
        <v>21.117758433024051</v>
      </c>
      <c r="D25" s="18">
        <f t="shared" ref="D25:D31" si="13">STDEV(F25:L25)</f>
        <v>10.61658907078462</v>
      </c>
      <c r="E25" s="11">
        <f t="shared" ref="E25:E31" si="14">COUNT(F25:L25)</f>
        <v>6</v>
      </c>
      <c r="F25" s="89">
        <v>36.443984985351499</v>
      </c>
      <c r="G25" s="90">
        <v>32.066848754882798</v>
      </c>
      <c r="H25" s="90"/>
      <c r="I25" s="90">
        <v>16.637222290038999</v>
      </c>
      <c r="J25" s="91">
        <v>13.4600982666015</v>
      </c>
      <c r="K25" s="91">
        <v>10.1671905517578</v>
      </c>
      <c r="L25" s="91">
        <v>17.931205749511701</v>
      </c>
      <c r="M25" s="20">
        <f t="shared" ref="M25:M31" si="15">AVERAGE(P25:S25)</f>
        <v>105.739223480224</v>
      </c>
      <c r="N25" s="18" t="e">
        <f t="shared" ref="N25:N31" si="16">STDEV(P25:S25)</f>
        <v>#DIV/0!</v>
      </c>
      <c r="O25" s="11">
        <f t="shared" ref="O25:O31" si="17">COUNT(P25:S25)</f>
        <v>1</v>
      </c>
      <c r="P25" s="40"/>
      <c r="Q25" s="40"/>
      <c r="R25" s="40">
        <v>105.739223480224</v>
      </c>
      <c r="S25" s="11"/>
      <c r="T25" s="1"/>
      <c r="U25" s="4"/>
      <c r="W25" s="108"/>
      <c r="X25" s="59">
        <v>2</v>
      </c>
      <c r="Y25" s="20">
        <f t="shared" ref="Y25:Y31" si="18">AVERAGE(AB25:AH25)</f>
        <v>13.984824583600703</v>
      </c>
      <c r="Z25" s="18">
        <f t="shared" ref="Z25:Z31" si="19">STDEV(AB25:AH25)</f>
        <v>5.6132556933908697</v>
      </c>
      <c r="AA25" s="11">
        <f t="shared" ref="AA25:AA31" si="20">COUNT(AB25:AH25)</f>
        <v>7</v>
      </c>
      <c r="AB25" s="20">
        <v>17.767227172851499</v>
      </c>
      <c r="AC25" s="18">
        <v>20.836380004882798</v>
      </c>
      <c r="AD25" s="18">
        <v>20.503627777099599</v>
      </c>
      <c r="AE25" s="18">
        <v>12.242691000000001</v>
      </c>
      <c r="AF25" s="18">
        <v>10.2862701416015</v>
      </c>
      <c r="AG25" s="18">
        <v>8.1835479736328107</v>
      </c>
      <c r="AH25" s="11">
        <v>8.0740280151367099</v>
      </c>
      <c r="AI25" s="14"/>
      <c r="AJ25" s="1"/>
      <c r="AK25" s="1"/>
      <c r="AL25" s="1"/>
      <c r="AM25" s="1"/>
      <c r="AN25" s="1"/>
      <c r="AO25" s="1"/>
      <c r="AP25" s="1"/>
      <c r="AQ25" s="4"/>
      <c r="AS25" s="108"/>
      <c r="AT25" s="59">
        <v>2</v>
      </c>
      <c r="AU25" s="20">
        <f t="shared" ref="AU25:AU31" si="21">AVERAGE(AX25:BD25)</f>
        <v>206.04062129833429</v>
      </c>
      <c r="AV25" s="18">
        <f t="shared" ref="AV25:AV31" si="22">STDEV(AX25:BD25)</f>
        <v>92.441742199133429</v>
      </c>
      <c r="AW25" s="11">
        <f t="shared" ref="AW25:AW31" si="23">COUNT(AX25:BD25)</f>
        <v>7</v>
      </c>
      <c r="AX25" s="84">
        <v>282.07136648397397</v>
      </c>
      <c r="AY25" s="40">
        <v>273.86291720272402</v>
      </c>
      <c r="AZ25" s="40">
        <v>339.55119053252201</v>
      </c>
      <c r="BA25" s="40">
        <v>124.13871041824601</v>
      </c>
      <c r="BB25" s="18">
        <v>105.192391463799</v>
      </c>
      <c r="BC25" s="18">
        <v>129.46700000000001</v>
      </c>
      <c r="BD25" s="11">
        <v>188.00077298707501</v>
      </c>
      <c r="BE25" s="14"/>
      <c r="BF25" s="1"/>
      <c r="BG25" s="1"/>
      <c r="BH25" s="1"/>
      <c r="BI25" s="1"/>
      <c r="BJ25" s="1"/>
      <c r="BK25" s="1"/>
      <c r="BL25" s="1"/>
      <c r="BM25" s="4"/>
    </row>
    <row r="26" spans="1:65" x14ac:dyDescent="0.2">
      <c r="A26" s="108"/>
      <c r="B26" s="44">
        <v>2.79</v>
      </c>
      <c r="C26" s="20" t="e">
        <f t="shared" si="12"/>
        <v>#DIV/0!</v>
      </c>
      <c r="D26" s="18" t="e">
        <f t="shared" si="13"/>
        <v>#DIV/0!</v>
      </c>
      <c r="E26" s="11">
        <f t="shared" si="14"/>
        <v>0</v>
      </c>
      <c r="F26" s="99"/>
      <c r="G26" s="91"/>
      <c r="H26" s="91"/>
      <c r="I26" s="91"/>
      <c r="J26" s="91"/>
      <c r="K26" s="91"/>
      <c r="L26" s="91"/>
      <c r="M26" s="20" t="e">
        <f t="shared" si="15"/>
        <v>#DIV/0!</v>
      </c>
      <c r="N26" s="18" t="e">
        <f t="shared" si="16"/>
        <v>#DIV/0!</v>
      </c>
      <c r="O26" s="11">
        <f t="shared" si="17"/>
        <v>0</v>
      </c>
      <c r="P26" s="18"/>
      <c r="Q26" s="40"/>
      <c r="R26" s="18"/>
      <c r="S26" s="11"/>
      <c r="T26" s="1"/>
      <c r="U26" s="4"/>
      <c r="W26" s="108"/>
      <c r="X26" s="44">
        <v>2.79</v>
      </c>
      <c r="Y26" s="20" t="e">
        <f t="shared" si="18"/>
        <v>#DIV/0!</v>
      </c>
      <c r="Z26" s="18" t="e">
        <f t="shared" si="19"/>
        <v>#DIV/0!</v>
      </c>
      <c r="AA26" s="11">
        <f t="shared" si="20"/>
        <v>0</v>
      </c>
      <c r="AB26" s="20"/>
      <c r="AC26" s="18"/>
      <c r="AD26" s="18"/>
      <c r="AE26" s="18"/>
      <c r="AF26" s="18"/>
      <c r="AG26" s="18"/>
      <c r="AH26" s="11"/>
      <c r="AI26" s="14"/>
      <c r="AJ26" s="1"/>
      <c r="AK26" s="1"/>
      <c r="AL26" s="1"/>
      <c r="AM26" s="1"/>
      <c r="AN26" s="1"/>
      <c r="AO26" s="1"/>
      <c r="AP26" s="1"/>
      <c r="AQ26" s="4"/>
      <c r="AS26" s="108"/>
      <c r="AT26" s="44">
        <v>2.79</v>
      </c>
      <c r="AU26" s="20" t="e">
        <f t="shared" si="21"/>
        <v>#DIV/0!</v>
      </c>
      <c r="AV26" s="18" t="e">
        <f t="shared" si="22"/>
        <v>#DIV/0!</v>
      </c>
      <c r="AW26" s="11">
        <f t="shared" si="23"/>
        <v>0</v>
      </c>
      <c r="AX26" s="20"/>
      <c r="AY26" s="18"/>
      <c r="AZ26" s="18"/>
      <c r="BA26" s="18"/>
      <c r="BB26" s="18"/>
      <c r="BC26" s="18"/>
      <c r="BD26" s="11"/>
      <c r="BE26" s="14"/>
      <c r="BF26" s="1"/>
      <c r="BG26" s="1"/>
      <c r="BH26" s="1"/>
      <c r="BI26" s="1"/>
      <c r="BJ26" s="1"/>
      <c r="BK26" s="1"/>
      <c r="BL26" s="1"/>
      <c r="BM26" s="4"/>
    </row>
    <row r="27" spans="1:65" x14ac:dyDescent="0.2">
      <c r="A27" s="108"/>
      <c r="B27" s="44">
        <v>5.35</v>
      </c>
      <c r="C27" s="20">
        <f t="shared" si="12"/>
        <v>20.896751403808558</v>
      </c>
      <c r="D27" s="18">
        <f t="shared" si="13"/>
        <v>6.5121040778945307</v>
      </c>
      <c r="E27" s="11">
        <f t="shared" si="14"/>
        <v>5</v>
      </c>
      <c r="F27" s="89"/>
      <c r="G27" s="90">
        <v>31.944778442382798</v>
      </c>
      <c r="H27" s="90"/>
      <c r="I27" s="90">
        <v>18.468276977538999</v>
      </c>
      <c r="J27" s="91">
        <v>19.990859985351499</v>
      </c>
      <c r="K27" s="91">
        <v>14.6837921142578</v>
      </c>
      <c r="L27" s="91">
        <v>19.396049499511701</v>
      </c>
      <c r="M27" s="20">
        <f t="shared" si="15"/>
        <v>109.23857688903749</v>
      </c>
      <c r="N27" s="18">
        <f t="shared" si="16"/>
        <v>2.4888057963967074</v>
      </c>
      <c r="O27" s="11">
        <f t="shared" si="17"/>
        <v>2</v>
      </c>
      <c r="P27" s="98">
        <v>110.99842834472599</v>
      </c>
      <c r="Q27" s="40"/>
      <c r="R27" s="40">
        <v>107.478725433349</v>
      </c>
      <c r="S27" s="11"/>
      <c r="T27" s="1"/>
      <c r="U27" s="4"/>
      <c r="W27" s="108"/>
      <c r="X27" s="44">
        <v>5.35</v>
      </c>
      <c r="Y27" s="20">
        <f t="shared" si="18"/>
        <v>14.978825697439987</v>
      </c>
      <c r="Z27" s="18">
        <f t="shared" si="19"/>
        <v>4.8690010494002642</v>
      </c>
      <c r="AA27" s="11">
        <f t="shared" si="20"/>
        <v>7</v>
      </c>
      <c r="AB27" s="20">
        <v>18.011367797851499</v>
      </c>
      <c r="AC27" s="18">
        <v>21.263626098632798</v>
      </c>
      <c r="AD27" s="18">
        <v>19.771205902099599</v>
      </c>
      <c r="AE27" s="18">
        <v>13.615982000000001</v>
      </c>
      <c r="AF27" s="18">
        <v>13.5211334228515</v>
      </c>
      <c r="AG27" s="18">
        <v>10.5334014892578</v>
      </c>
      <c r="AH27" s="11">
        <v>8.1350631713867099</v>
      </c>
      <c r="AI27" s="14"/>
      <c r="AJ27" s="1"/>
      <c r="AK27" s="1"/>
      <c r="AL27" s="1"/>
      <c r="AM27" s="1"/>
      <c r="AN27" s="1"/>
      <c r="AO27" s="1"/>
      <c r="AP27" s="1"/>
      <c r="AQ27" s="4"/>
      <c r="AS27" s="108"/>
      <c r="AT27" s="44">
        <v>5.35</v>
      </c>
      <c r="AU27" s="20">
        <f t="shared" si="21"/>
        <v>212.01590449666372</v>
      </c>
      <c r="AV27" s="18">
        <f t="shared" si="22"/>
        <v>82.724215779227336</v>
      </c>
      <c r="AW27" s="11">
        <f t="shared" si="23"/>
        <v>7</v>
      </c>
      <c r="AX27" s="84">
        <v>271.198164418256</v>
      </c>
      <c r="AY27" s="40">
        <v>267.39666342943099</v>
      </c>
      <c r="AZ27" s="40">
        <v>337.09583107764701</v>
      </c>
      <c r="BA27" s="40">
        <v>114.53289279543201</v>
      </c>
      <c r="BB27" s="18">
        <v>155.179546587494</v>
      </c>
      <c r="BC27" s="18">
        <v>134.19836720852399</v>
      </c>
      <c r="BD27" s="11">
        <v>204.509865959862</v>
      </c>
      <c r="BE27" s="14"/>
      <c r="BF27" s="1"/>
      <c r="BG27" s="1"/>
      <c r="BH27" s="1"/>
      <c r="BI27" s="1"/>
      <c r="BJ27" s="1"/>
      <c r="BK27" s="1"/>
      <c r="BL27" s="1"/>
      <c r="BM27" s="4"/>
    </row>
    <row r="28" spans="1:65" x14ac:dyDescent="0.2">
      <c r="A28" s="108"/>
      <c r="B28" s="44">
        <v>10</v>
      </c>
      <c r="C28" s="20">
        <f t="shared" si="12"/>
        <v>23.227973937988239</v>
      </c>
      <c r="D28" s="18">
        <f t="shared" si="13"/>
        <v>5.2961358812382171</v>
      </c>
      <c r="E28" s="11">
        <f t="shared" si="14"/>
        <v>5</v>
      </c>
      <c r="F28" s="89">
        <v>29.2347412109375</v>
      </c>
      <c r="G28" s="90">
        <v>28.811019897460898</v>
      </c>
      <c r="H28" s="90"/>
      <c r="I28" s="90">
        <v>19.6579284667968</v>
      </c>
      <c r="J28" s="91"/>
      <c r="K28" s="91">
        <v>19.074905395507798</v>
      </c>
      <c r="L28" s="91">
        <v>19.3612747192382</v>
      </c>
      <c r="M28" s="20">
        <f t="shared" si="15"/>
        <v>101.7785358428952</v>
      </c>
      <c r="N28" s="18">
        <f t="shared" si="16"/>
        <v>14.06511141513999</v>
      </c>
      <c r="O28" s="11">
        <f t="shared" si="17"/>
        <v>2</v>
      </c>
      <c r="P28" s="40"/>
      <c r="Q28" s="18"/>
      <c r="R28" s="40">
        <v>91.833000183105398</v>
      </c>
      <c r="S28" s="11">
        <v>111.72407150268501</v>
      </c>
      <c r="T28" s="1"/>
      <c r="U28" s="4"/>
      <c r="W28" s="108"/>
      <c r="X28" s="44">
        <v>10</v>
      </c>
      <c r="Y28" s="20">
        <f t="shared" si="18"/>
        <v>13.845517294747456</v>
      </c>
      <c r="Z28" s="18">
        <f t="shared" si="19"/>
        <v>4.1505294622818703</v>
      </c>
      <c r="AA28" s="11">
        <f t="shared" si="20"/>
        <v>7</v>
      </c>
      <c r="AB28" s="20">
        <v>15.6239013671875</v>
      </c>
      <c r="AC28" s="18">
        <v>17.763656616210898</v>
      </c>
      <c r="AD28" s="18">
        <v>16.698722839355401</v>
      </c>
      <c r="AE28" s="18">
        <v>14.1647644042968</v>
      </c>
      <c r="AF28" s="18">
        <v>16.631298065185501</v>
      </c>
      <c r="AG28" s="18">
        <v>8.6989288330078107</v>
      </c>
      <c r="AH28" s="11">
        <v>7.3373489379882804</v>
      </c>
      <c r="AI28" s="14"/>
      <c r="AJ28" s="1"/>
      <c r="AK28" s="1"/>
      <c r="AL28" s="1"/>
      <c r="AM28" s="1"/>
      <c r="AN28" s="1"/>
      <c r="AO28" s="1"/>
      <c r="AP28" s="1"/>
      <c r="AQ28" s="4"/>
      <c r="AS28" s="108"/>
      <c r="AT28" s="44">
        <v>10</v>
      </c>
      <c r="AU28" s="20">
        <f t="shared" si="21"/>
        <v>213.78086161368498</v>
      </c>
      <c r="AV28" s="18">
        <f t="shared" si="22"/>
        <v>55.336285975029512</v>
      </c>
      <c r="AW28" s="11">
        <f t="shared" si="23"/>
        <v>7</v>
      </c>
      <c r="AX28" s="84">
        <v>219.99719049511501</v>
      </c>
      <c r="AY28" s="40">
        <v>179.18373836075099</v>
      </c>
      <c r="AZ28" s="40">
        <v>266.38196450029699</v>
      </c>
      <c r="BA28" s="40">
        <v>119.78858199623799</v>
      </c>
      <c r="BB28" s="18">
        <v>274.26159292511801</v>
      </c>
      <c r="BC28" s="18">
        <v>248.71275323377</v>
      </c>
      <c r="BD28" s="11">
        <v>188.140209784506</v>
      </c>
      <c r="BE28" s="14"/>
      <c r="BF28" s="1"/>
      <c r="BG28" s="1"/>
      <c r="BH28" s="1"/>
      <c r="BI28" s="1"/>
      <c r="BJ28" s="1"/>
      <c r="BK28" s="1"/>
      <c r="BL28" s="1"/>
      <c r="BM28" s="4"/>
    </row>
    <row r="29" spans="1:65" x14ac:dyDescent="0.2">
      <c r="A29" s="108"/>
      <c r="B29" s="45">
        <v>15</v>
      </c>
      <c r="C29" s="20" t="e">
        <f t="shared" si="12"/>
        <v>#DIV/0!</v>
      </c>
      <c r="D29" s="18" t="e">
        <f t="shared" si="13"/>
        <v>#DIV/0!</v>
      </c>
      <c r="E29" s="11">
        <f t="shared" si="14"/>
        <v>0</v>
      </c>
      <c r="F29" s="99"/>
      <c r="G29" s="91"/>
      <c r="H29" s="91"/>
      <c r="I29" s="91"/>
      <c r="J29" s="91"/>
      <c r="K29" s="91"/>
      <c r="L29" s="91"/>
      <c r="M29" s="20" t="e">
        <f t="shared" si="15"/>
        <v>#DIV/0!</v>
      </c>
      <c r="N29" s="18" t="e">
        <f t="shared" si="16"/>
        <v>#DIV/0!</v>
      </c>
      <c r="O29" s="11">
        <f t="shared" si="17"/>
        <v>0</v>
      </c>
      <c r="P29" s="18"/>
      <c r="Q29" s="18"/>
      <c r="R29" s="18"/>
      <c r="S29" s="11"/>
      <c r="T29" s="1"/>
      <c r="U29" s="4"/>
      <c r="W29" s="108"/>
      <c r="X29" s="45">
        <v>15</v>
      </c>
      <c r="Y29" s="20" t="e">
        <f t="shared" si="18"/>
        <v>#DIV/0!</v>
      </c>
      <c r="Z29" s="18" t="e">
        <f t="shared" si="19"/>
        <v>#DIV/0!</v>
      </c>
      <c r="AA29" s="11">
        <f t="shared" si="20"/>
        <v>0</v>
      </c>
      <c r="AB29" s="20"/>
      <c r="AC29" s="18"/>
      <c r="AD29" s="18"/>
      <c r="AE29" s="18"/>
      <c r="AF29" s="18"/>
      <c r="AG29" s="18"/>
      <c r="AH29" s="11"/>
      <c r="AI29" s="14"/>
      <c r="AJ29" s="1"/>
      <c r="AK29" s="1"/>
      <c r="AL29" s="1"/>
      <c r="AM29" s="1"/>
      <c r="AN29" s="1"/>
      <c r="AO29" s="1"/>
      <c r="AP29" s="1"/>
      <c r="AQ29" s="4"/>
      <c r="AS29" s="108"/>
      <c r="AT29" s="45">
        <v>15</v>
      </c>
      <c r="AU29" s="20" t="e">
        <f t="shared" si="21"/>
        <v>#DIV/0!</v>
      </c>
      <c r="AV29" s="18" t="e">
        <f t="shared" si="22"/>
        <v>#DIV/0!</v>
      </c>
      <c r="AW29" s="11">
        <f t="shared" si="23"/>
        <v>0</v>
      </c>
      <c r="AX29" s="20"/>
      <c r="AY29" s="18"/>
      <c r="AZ29" s="18"/>
      <c r="BA29" s="18"/>
      <c r="BB29" s="18"/>
      <c r="BC29" s="18"/>
      <c r="BD29" s="11"/>
      <c r="BE29" s="14"/>
      <c r="BF29" s="1"/>
      <c r="BG29" s="1"/>
      <c r="BH29" s="1"/>
      <c r="BI29" s="1"/>
      <c r="BJ29" s="1"/>
      <c r="BK29" s="1"/>
      <c r="BL29" s="1"/>
      <c r="BM29" s="4"/>
    </row>
    <row r="30" spans="1:65" x14ac:dyDescent="0.2">
      <c r="A30" s="108"/>
      <c r="B30" s="44">
        <v>20.23</v>
      </c>
      <c r="C30" s="20">
        <f t="shared" si="12"/>
        <v>19.568153381347599</v>
      </c>
      <c r="D30" s="18">
        <f t="shared" si="13"/>
        <v>0.24294773654223525</v>
      </c>
      <c r="E30" s="11">
        <f t="shared" si="14"/>
        <v>3</v>
      </c>
      <c r="F30" s="89"/>
      <c r="G30" s="90"/>
      <c r="H30" s="90"/>
      <c r="I30" s="90">
        <v>19.6884460449218</v>
      </c>
      <c r="J30" s="91"/>
      <c r="K30" s="91">
        <v>19.288528442382798</v>
      </c>
      <c r="L30" s="91">
        <v>19.7274856567382</v>
      </c>
      <c r="M30" s="20">
        <f t="shared" si="15"/>
        <v>98.832715034484693</v>
      </c>
      <c r="N30" s="18">
        <f t="shared" si="16"/>
        <v>6.4160665672342807</v>
      </c>
      <c r="O30" s="11">
        <f t="shared" si="17"/>
        <v>4</v>
      </c>
      <c r="P30" s="90">
        <v>96.7091064453125</v>
      </c>
      <c r="Q30" s="40">
        <v>96.865219116210895</v>
      </c>
      <c r="R30" s="40">
        <v>93.572502136230398</v>
      </c>
      <c r="S30" s="11">
        <v>108.18403244018501</v>
      </c>
      <c r="T30" s="1"/>
      <c r="U30" s="4"/>
      <c r="W30" s="108"/>
      <c r="X30" s="44">
        <v>20.23</v>
      </c>
      <c r="Y30" s="20">
        <f t="shared" si="18"/>
        <v>13.775762830461742</v>
      </c>
      <c r="Z30" s="18">
        <f t="shared" si="19"/>
        <v>4.2288055880666606</v>
      </c>
      <c r="AA30" s="11">
        <f t="shared" si="20"/>
        <v>7</v>
      </c>
      <c r="AB30" s="20">
        <v>14.9219970703125</v>
      </c>
      <c r="AC30" s="18">
        <v>17.458480834960898</v>
      </c>
      <c r="AD30" s="18">
        <v>16.973381042480401</v>
      </c>
      <c r="AE30" s="18">
        <v>14.9277038574218</v>
      </c>
      <c r="AF30" s="18">
        <v>16.631298065185501</v>
      </c>
      <c r="AG30" s="18">
        <v>8.1496124267578107</v>
      </c>
      <c r="AH30" s="11">
        <v>7.3678665161132804</v>
      </c>
      <c r="AI30" s="14"/>
      <c r="AJ30" s="1"/>
      <c r="AK30" s="1"/>
      <c r="AL30" s="1"/>
      <c r="AM30" s="1"/>
      <c r="AN30" s="1"/>
      <c r="AO30" s="1"/>
      <c r="AP30" s="1"/>
      <c r="AQ30" s="4"/>
      <c r="AS30" s="108"/>
      <c r="AT30" s="44">
        <v>20.23</v>
      </c>
      <c r="AU30" s="20">
        <f t="shared" si="21"/>
        <v>190.77337983656898</v>
      </c>
      <c r="AV30" s="18">
        <f t="shared" si="22"/>
        <v>46.334151677081373</v>
      </c>
      <c r="AW30" s="11">
        <f t="shared" si="23"/>
        <v>7</v>
      </c>
      <c r="AX30" s="84">
        <v>211.31323327542401</v>
      </c>
      <c r="AY30" s="40">
        <v>177.30225612060801</v>
      </c>
      <c r="AZ30" s="40">
        <v>256.64516782108097</v>
      </c>
      <c r="BA30" s="40">
        <v>104.99250324818</v>
      </c>
      <c r="BB30" s="18">
        <v>207.90575642019601</v>
      </c>
      <c r="BC30" s="18">
        <v>200.40838623046801</v>
      </c>
      <c r="BD30" s="11">
        <v>176.84635574002601</v>
      </c>
      <c r="BE30" s="14"/>
      <c r="BF30" s="1"/>
      <c r="BG30" s="1"/>
      <c r="BH30" s="1"/>
      <c r="BI30" s="1"/>
      <c r="BJ30" s="1"/>
      <c r="BK30" s="1"/>
      <c r="BL30" s="1"/>
      <c r="BM30" s="4"/>
    </row>
    <row r="31" spans="1:65" x14ac:dyDescent="0.2">
      <c r="A31" s="108"/>
      <c r="B31" s="46">
        <v>30.47</v>
      </c>
      <c r="C31" s="8">
        <f t="shared" si="12"/>
        <v>19.364702860514267</v>
      </c>
      <c r="D31" s="9">
        <f t="shared" si="13"/>
        <v>0.25051278213079875</v>
      </c>
      <c r="E31" s="10">
        <f t="shared" si="14"/>
        <v>3</v>
      </c>
      <c r="F31" s="94"/>
      <c r="G31" s="95"/>
      <c r="H31" s="95"/>
      <c r="I31" s="95">
        <v>19.3832702636718</v>
      </c>
      <c r="J31" s="96"/>
      <c r="K31" s="96">
        <v>19.105422973632798</v>
      </c>
      <c r="L31" s="96">
        <v>19.6054153442382</v>
      </c>
      <c r="M31" s="8">
        <f t="shared" si="15"/>
        <v>97.016919136047193</v>
      </c>
      <c r="N31" s="9">
        <f t="shared" si="16"/>
        <v>9.1453236512604779</v>
      </c>
      <c r="O31" s="10">
        <f t="shared" si="17"/>
        <v>4</v>
      </c>
      <c r="P31" s="95">
        <v>92.8333740234375</v>
      </c>
      <c r="Q31" s="21">
        <v>93.447250366210895</v>
      </c>
      <c r="R31" s="21">
        <v>91.131095886230398</v>
      </c>
      <c r="S31" s="10">
        <v>110.65595626831001</v>
      </c>
      <c r="T31" s="1"/>
      <c r="U31" s="4"/>
      <c r="W31" s="108"/>
      <c r="X31" s="46">
        <v>30.47</v>
      </c>
      <c r="Y31" s="8">
        <f t="shared" si="18"/>
        <v>14.0852982657296</v>
      </c>
      <c r="Z31" s="9">
        <f t="shared" si="19"/>
        <v>4.0413015415637972</v>
      </c>
      <c r="AA31" s="10">
        <f t="shared" si="20"/>
        <v>7</v>
      </c>
      <c r="AB31" s="8">
        <v>14.7388916015625</v>
      </c>
      <c r="AC31" s="9">
        <v>17.397445678710898</v>
      </c>
      <c r="AD31" s="9">
        <v>16.790275573730401</v>
      </c>
      <c r="AE31" s="9">
        <v>14.8971862792968</v>
      </c>
      <c r="AF31" s="9">
        <v>17.882518768310501</v>
      </c>
      <c r="AG31" s="9">
        <v>7.9054718017578098</v>
      </c>
      <c r="AH31" s="10">
        <v>8.9852981567382795</v>
      </c>
      <c r="AI31" s="14"/>
      <c r="AJ31" s="1"/>
      <c r="AK31" s="1"/>
      <c r="AL31" s="1"/>
      <c r="AM31" s="1"/>
      <c r="AN31" s="1"/>
      <c r="AO31" s="1"/>
      <c r="AP31" s="1"/>
      <c r="AQ31" s="4"/>
      <c r="AS31" s="108"/>
      <c r="AT31" s="46">
        <v>30.47</v>
      </c>
      <c r="AU31" s="8">
        <f t="shared" si="21"/>
        <v>189.72844698884742</v>
      </c>
      <c r="AV31" s="9">
        <f t="shared" si="22"/>
        <v>42.880930628514498</v>
      </c>
      <c r="AW31" s="10">
        <f t="shared" si="23"/>
        <v>7</v>
      </c>
      <c r="AX31" s="85">
        <v>219.93551550258599</v>
      </c>
      <c r="AY31" s="21">
        <v>165.44501764254699</v>
      </c>
      <c r="AZ31" s="21">
        <v>247.02773618147199</v>
      </c>
      <c r="BA31" s="21">
        <v>112.75299191954601</v>
      </c>
      <c r="BB31" s="9">
        <v>192.19800000000001</v>
      </c>
      <c r="BC31" s="9">
        <v>206.60186767578099</v>
      </c>
      <c r="BD31" s="10">
        <v>184.13800000000001</v>
      </c>
      <c r="BE31" s="14"/>
      <c r="BF31" s="1"/>
      <c r="BG31" s="1"/>
      <c r="BH31" s="1"/>
      <c r="BI31" s="1"/>
      <c r="BJ31" s="1"/>
      <c r="BK31" s="1"/>
      <c r="BL31" s="1"/>
      <c r="BM31" s="4"/>
    </row>
    <row r="32" spans="1:65" x14ac:dyDescent="0.2">
      <c r="A32" s="108"/>
      <c r="B32" s="1"/>
      <c r="C32" s="1"/>
      <c r="D32" s="1"/>
      <c r="E32" s="1"/>
      <c r="F32" s="1"/>
      <c r="G32" s="1"/>
      <c r="H32" s="1"/>
      <c r="I32" s="1"/>
      <c r="J32" s="1"/>
      <c r="K32" s="52"/>
      <c r="L32" s="1"/>
      <c r="M32" s="18"/>
      <c r="N32" s="1"/>
      <c r="O32" s="1"/>
      <c r="P32" s="1"/>
      <c r="Q32" s="1"/>
      <c r="R32" s="1"/>
      <c r="S32" s="1"/>
      <c r="T32" s="1"/>
      <c r="U32" s="4"/>
      <c r="W32" s="108"/>
      <c r="X32" s="1"/>
      <c r="Y32" s="1"/>
      <c r="Z32" s="1"/>
      <c r="AA32" s="1"/>
      <c r="AB32" s="1"/>
      <c r="AC32" s="1"/>
      <c r="AD32" s="1"/>
      <c r="AE32" s="1"/>
      <c r="AF32" s="1"/>
      <c r="AG32" s="52"/>
      <c r="AH32" s="1"/>
      <c r="AI32" s="18"/>
      <c r="AJ32" s="1"/>
      <c r="AK32" s="1"/>
      <c r="AL32" s="1"/>
      <c r="AM32" s="1"/>
      <c r="AN32" s="1"/>
      <c r="AO32" s="1"/>
      <c r="AP32" s="1"/>
      <c r="AQ32" s="4"/>
      <c r="AS32" s="108"/>
      <c r="AT32" s="1"/>
      <c r="AU32" s="1"/>
      <c r="AV32" s="1"/>
      <c r="AW32" s="1"/>
      <c r="AX32" s="1"/>
      <c r="AY32" s="1"/>
      <c r="AZ32" s="1"/>
      <c r="BA32" s="1"/>
      <c r="BB32" s="1"/>
      <c r="BC32" s="52"/>
      <c r="BD32" s="1"/>
      <c r="BE32" s="18"/>
      <c r="BF32" s="1"/>
      <c r="BG32" s="1"/>
      <c r="BH32" s="1"/>
      <c r="BI32" s="1"/>
      <c r="BJ32" s="1"/>
      <c r="BK32" s="1"/>
      <c r="BL32" s="1"/>
      <c r="BM32" s="4"/>
    </row>
    <row r="33" spans="1:65" x14ac:dyDescent="0.2">
      <c r="A33" s="108"/>
      <c r="B33" s="141" t="s">
        <v>35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3"/>
      <c r="N33" s="1"/>
      <c r="O33" s="1"/>
      <c r="P33" s="1"/>
      <c r="Q33" s="1"/>
      <c r="R33" s="1"/>
      <c r="S33" s="1"/>
      <c r="T33" s="1"/>
      <c r="U33" s="4"/>
      <c r="W33" s="108"/>
      <c r="X33" s="141" t="s">
        <v>35</v>
      </c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3"/>
      <c r="AJ33" s="1"/>
      <c r="AK33" s="1"/>
      <c r="AL33" s="1"/>
      <c r="AM33" s="1"/>
      <c r="AN33" s="1"/>
      <c r="AO33" s="1"/>
      <c r="AP33" s="1"/>
      <c r="AQ33" s="4"/>
      <c r="AS33" s="108"/>
      <c r="AT33" s="141" t="s">
        <v>35</v>
      </c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3"/>
      <c r="BF33" s="1"/>
      <c r="BG33" s="1"/>
      <c r="BH33" s="1"/>
      <c r="BI33" s="1"/>
      <c r="BJ33" s="1"/>
      <c r="BK33" s="1"/>
      <c r="BL33" s="1"/>
      <c r="BM33" s="4"/>
    </row>
    <row r="34" spans="1:65" x14ac:dyDescent="0.2">
      <c r="A34" s="108"/>
      <c r="B34" s="130" t="s">
        <v>9</v>
      </c>
      <c r="C34" s="81" t="s">
        <v>3</v>
      </c>
      <c r="D34" s="82" t="s">
        <v>5</v>
      </c>
      <c r="E34" s="83" t="s">
        <v>4</v>
      </c>
      <c r="F34" s="138" t="s">
        <v>10</v>
      </c>
      <c r="G34" s="139"/>
      <c r="H34" s="139"/>
      <c r="I34" s="139"/>
      <c r="J34" s="139"/>
      <c r="K34" s="139"/>
      <c r="L34" s="139"/>
      <c r="M34" s="140"/>
      <c r="N34" s="1"/>
      <c r="O34" s="1"/>
      <c r="P34" s="1"/>
      <c r="Q34" s="1"/>
      <c r="R34" s="1"/>
      <c r="S34" s="1"/>
      <c r="T34" s="1"/>
      <c r="U34" s="4"/>
      <c r="W34" s="108"/>
      <c r="X34" s="130" t="s">
        <v>9</v>
      </c>
      <c r="Y34" s="12" t="s">
        <v>3</v>
      </c>
      <c r="Z34" s="12" t="s">
        <v>5</v>
      </c>
      <c r="AA34" s="13" t="s">
        <v>4</v>
      </c>
      <c r="AB34" s="138" t="s">
        <v>10</v>
      </c>
      <c r="AC34" s="139"/>
      <c r="AD34" s="139"/>
      <c r="AE34" s="139"/>
      <c r="AF34" s="139"/>
      <c r="AG34" s="139"/>
      <c r="AH34" s="139"/>
      <c r="AI34" s="140"/>
      <c r="AJ34" s="1"/>
      <c r="AK34" s="1"/>
      <c r="AL34" s="1"/>
      <c r="AM34" s="1"/>
      <c r="AN34" s="1"/>
      <c r="AO34" s="1"/>
      <c r="AP34" s="1"/>
      <c r="AQ34" s="4"/>
      <c r="AS34" s="108"/>
      <c r="AT34" s="130" t="s">
        <v>9</v>
      </c>
      <c r="AU34" s="81" t="s">
        <v>3</v>
      </c>
      <c r="AV34" s="82" t="s">
        <v>5</v>
      </c>
      <c r="AW34" s="83" t="s">
        <v>4</v>
      </c>
      <c r="AX34" s="138" t="s">
        <v>10</v>
      </c>
      <c r="AY34" s="139"/>
      <c r="AZ34" s="139"/>
      <c r="BA34" s="139"/>
      <c r="BB34" s="139"/>
      <c r="BC34" s="139"/>
      <c r="BD34" s="139"/>
      <c r="BE34" s="140"/>
      <c r="BF34" s="1"/>
      <c r="BG34" s="1"/>
      <c r="BH34" s="1"/>
      <c r="BI34" s="1"/>
      <c r="BJ34" s="1"/>
      <c r="BK34" s="1"/>
      <c r="BL34" s="1"/>
      <c r="BM34" s="4"/>
    </row>
    <row r="35" spans="1:65" x14ac:dyDescent="0.2">
      <c r="A35" s="108"/>
      <c r="B35" s="131"/>
      <c r="C35" s="128" t="s">
        <v>11</v>
      </c>
      <c r="D35" s="117"/>
      <c r="E35" s="118"/>
      <c r="F35" s="86">
        <v>13</v>
      </c>
      <c r="G35" s="87">
        <v>34</v>
      </c>
      <c r="H35" s="87">
        <v>35</v>
      </c>
      <c r="I35" s="87">
        <v>36</v>
      </c>
      <c r="J35" s="87">
        <v>40</v>
      </c>
      <c r="K35" s="87">
        <v>46</v>
      </c>
      <c r="L35" s="87">
        <v>47</v>
      </c>
      <c r="M35" s="41">
        <v>156</v>
      </c>
      <c r="N35" s="1"/>
      <c r="O35" s="1"/>
      <c r="P35" s="1"/>
      <c r="Q35" s="1"/>
      <c r="R35" s="1"/>
      <c r="S35" s="1"/>
      <c r="T35" s="1"/>
      <c r="U35" s="4"/>
      <c r="W35" s="108"/>
      <c r="X35" s="131"/>
      <c r="Y35" s="119" t="s">
        <v>11</v>
      </c>
      <c r="Z35" s="119"/>
      <c r="AA35" s="120"/>
      <c r="AB35" s="86">
        <v>13</v>
      </c>
      <c r="AC35" s="87">
        <v>34</v>
      </c>
      <c r="AD35" s="87">
        <v>35</v>
      </c>
      <c r="AE35" s="87">
        <v>36</v>
      </c>
      <c r="AF35" s="87">
        <v>40</v>
      </c>
      <c r="AG35" s="87">
        <v>46</v>
      </c>
      <c r="AH35" s="87">
        <v>47</v>
      </c>
      <c r="AI35" s="41">
        <v>156</v>
      </c>
      <c r="AJ35" s="1"/>
      <c r="AK35" s="1"/>
      <c r="AL35" s="1"/>
      <c r="AM35" s="1"/>
      <c r="AN35" s="1"/>
      <c r="AO35" s="1"/>
      <c r="AP35" s="1"/>
      <c r="AQ35" s="4"/>
      <c r="AS35" s="108"/>
      <c r="AT35" s="131"/>
      <c r="AU35" s="128" t="s">
        <v>11</v>
      </c>
      <c r="AV35" s="117"/>
      <c r="AW35" s="118"/>
      <c r="AX35" s="86">
        <v>13</v>
      </c>
      <c r="AY35" s="87">
        <v>34</v>
      </c>
      <c r="AZ35" s="87">
        <v>35</v>
      </c>
      <c r="BA35" s="87">
        <v>36</v>
      </c>
      <c r="BB35" s="87">
        <v>40</v>
      </c>
      <c r="BC35" s="87">
        <v>46</v>
      </c>
      <c r="BD35" s="87">
        <v>47</v>
      </c>
      <c r="BE35" s="41">
        <v>156</v>
      </c>
      <c r="BF35" s="1"/>
      <c r="BG35" s="1"/>
      <c r="BH35" s="1"/>
      <c r="BI35" s="1"/>
      <c r="BJ35" s="1"/>
      <c r="BK35" s="1"/>
      <c r="BL35" s="1"/>
      <c r="BM35" s="4"/>
    </row>
    <row r="36" spans="1:65" x14ac:dyDescent="0.2">
      <c r="A36" s="108"/>
      <c r="B36" s="44">
        <v>1.05</v>
      </c>
      <c r="C36" s="20">
        <f>AVERAGE(F36:M36)</f>
        <v>8.513865947723346</v>
      </c>
      <c r="D36" s="18">
        <f>STDEV(F36:M36)</f>
        <v>3.6841772207638068</v>
      </c>
      <c r="E36" s="11">
        <f>COUNT(F36:M36)</f>
        <v>8</v>
      </c>
      <c r="F36" s="89">
        <v>1.58836364746093</v>
      </c>
      <c r="G36" s="90">
        <v>11.488670349121</v>
      </c>
      <c r="H36" s="90">
        <v>10.8360290527343</v>
      </c>
      <c r="I36" s="90">
        <v>9.5035629272460902</v>
      </c>
      <c r="J36" s="90">
        <v>8.76706314086913</v>
      </c>
      <c r="K36" s="90">
        <v>11.3175659179687</v>
      </c>
      <c r="L36" s="90">
        <v>10.5436477661132</v>
      </c>
      <c r="M36" s="93">
        <v>4.0660247802734304</v>
      </c>
      <c r="N36" s="1"/>
      <c r="O36" s="1"/>
      <c r="P36" s="1"/>
      <c r="Q36" s="1"/>
      <c r="R36" s="1"/>
      <c r="S36" s="1"/>
      <c r="T36" s="1"/>
      <c r="U36" s="4"/>
      <c r="W36" s="108"/>
      <c r="X36" s="44">
        <v>1.05</v>
      </c>
      <c r="Y36" s="20">
        <f>AVERAGE(AB36:AI36)</f>
        <v>5.0691943168640101</v>
      </c>
      <c r="Z36" s="18">
        <f>STDEV(AB36:AI36)</f>
        <v>2.095588831367186</v>
      </c>
      <c r="AA36" s="11">
        <f>COUNT(AB36:AI36)</f>
        <v>8</v>
      </c>
      <c r="AB36" s="42">
        <v>1.28318786621093</v>
      </c>
      <c r="AC36" s="16">
        <v>7.0941390991210902</v>
      </c>
      <c r="AD36" s="16">
        <v>5.5564880371093697</v>
      </c>
      <c r="AE36" s="16">
        <v>6.8790512084960902</v>
      </c>
      <c r="AF36" s="16">
        <v>3.9452857971191402</v>
      </c>
      <c r="AG36" s="16">
        <v>6.12957763671875</v>
      </c>
      <c r="AH36" s="16">
        <v>6.6068801879882804</v>
      </c>
      <c r="AI36" s="17">
        <v>3.05894470214843</v>
      </c>
      <c r="AJ36" s="1"/>
      <c r="AK36" s="1"/>
      <c r="AL36" s="1"/>
      <c r="AM36" s="1"/>
      <c r="AN36" s="1"/>
      <c r="AO36" s="1"/>
      <c r="AP36" s="1"/>
      <c r="AQ36" s="4"/>
      <c r="AS36" s="108"/>
      <c r="AT36" s="44">
        <v>1.05</v>
      </c>
      <c r="AU36" s="20">
        <f>AVERAGE(AX36:BE36)</f>
        <v>253.22484969866463</v>
      </c>
      <c r="AV36" s="18">
        <f>STDEV(AX36:BE36)</f>
        <v>108.48803526857168</v>
      </c>
      <c r="AW36" s="11">
        <f>COUNT(AX36:BE36)</f>
        <v>8</v>
      </c>
      <c r="AX36" s="88">
        <v>166.58350753182901</v>
      </c>
      <c r="AY36" s="49">
        <v>199.252329899514</v>
      </c>
      <c r="AZ36" s="49">
        <v>277.67665757200098</v>
      </c>
      <c r="BA36" s="49">
        <v>234.30544060785101</v>
      </c>
      <c r="BB36" s="49">
        <v>469.96400836273102</v>
      </c>
      <c r="BC36" s="49">
        <v>322.05099999999999</v>
      </c>
      <c r="BD36" s="49">
        <v>241.135087404594</v>
      </c>
      <c r="BE36" s="17">
        <v>114.83076621079699</v>
      </c>
      <c r="BF36" s="1"/>
      <c r="BG36" s="1"/>
      <c r="BH36" s="1"/>
      <c r="BI36" s="1"/>
      <c r="BJ36" s="1"/>
      <c r="BK36" s="1"/>
      <c r="BL36" s="1"/>
      <c r="BM36" s="4"/>
    </row>
    <row r="37" spans="1:65" x14ac:dyDescent="0.2">
      <c r="A37" s="108"/>
      <c r="B37" s="59">
        <v>2</v>
      </c>
      <c r="C37" s="20">
        <f t="shared" ref="C37:C43" si="24">AVERAGE(F37:M37)</f>
        <v>9.2880080086843861</v>
      </c>
      <c r="D37" s="18">
        <f t="shared" ref="D37:D43" si="25">STDEV(F37:M37)</f>
        <v>3.8984046991163028</v>
      </c>
      <c r="E37" s="11">
        <f t="shared" ref="E37:E43" si="26">COUNT(F37:M37)</f>
        <v>7</v>
      </c>
      <c r="F37" s="89">
        <v>2.25975036621093</v>
      </c>
      <c r="G37" s="90">
        <v>11.976951599121</v>
      </c>
      <c r="H37" s="90">
        <v>11.7210388183593</v>
      </c>
      <c r="I37" s="91"/>
      <c r="J37" s="90">
        <v>9.6825904846191406</v>
      </c>
      <c r="K37" s="90">
        <v>12.5687866210937</v>
      </c>
      <c r="L37" s="90">
        <v>11.2455520629882</v>
      </c>
      <c r="M37" s="93">
        <v>5.5613861083984304</v>
      </c>
      <c r="N37" s="1"/>
      <c r="O37" s="1"/>
      <c r="P37" s="1"/>
      <c r="Q37" s="1"/>
      <c r="R37" s="1"/>
      <c r="S37" s="1"/>
      <c r="T37" s="1"/>
      <c r="U37" s="4"/>
      <c r="W37" s="108"/>
      <c r="X37" s="59">
        <v>2</v>
      </c>
      <c r="Y37" s="20">
        <f t="shared" ref="Y37:Y43" si="27">AVERAGE(AB37:AI37)</f>
        <v>5.1724946158272838</v>
      </c>
      <c r="Z37" s="18">
        <f t="shared" ref="Z37:Z43" si="28">STDEV(AB37:AI37)</f>
        <v>1.8712230564294812</v>
      </c>
      <c r="AA37" s="11">
        <f t="shared" ref="AA37:AA43" si="29">COUNT(AB37:AI37)</f>
        <v>7</v>
      </c>
      <c r="AB37" s="20">
        <v>1.98509216308593</v>
      </c>
      <c r="AC37" s="18">
        <v>7.3382797241210902</v>
      </c>
      <c r="AD37" s="18">
        <v>5.5564880371093697</v>
      </c>
      <c r="AE37" s="18"/>
      <c r="AF37" s="18">
        <v>4.4335670471191397</v>
      </c>
      <c r="AG37" s="18">
        <v>6.31268310546875</v>
      </c>
      <c r="AH37" s="18">
        <v>6.7289505004882804</v>
      </c>
      <c r="AI37" s="11">
        <v>3.85240173339843</v>
      </c>
      <c r="AJ37" s="1"/>
      <c r="AK37" s="1"/>
      <c r="AL37" s="1"/>
      <c r="AM37" s="1"/>
      <c r="AN37" s="1"/>
      <c r="AO37" s="1"/>
      <c r="AP37" s="1"/>
      <c r="AQ37" s="4"/>
      <c r="AS37" s="108"/>
      <c r="AT37" s="59">
        <v>2</v>
      </c>
      <c r="AU37" s="20">
        <f t="shared" ref="AU37:AU43" si="30">AVERAGE(AX37:BE37)</f>
        <v>255.15701690723284</v>
      </c>
      <c r="AV37" s="18">
        <f t="shared" ref="AV37:AV43" si="31">STDEV(AX37:BE37)</f>
        <v>101.70729446484972</v>
      </c>
      <c r="AW37" s="11">
        <f t="shared" ref="AW37:AW43" si="32">COUNT(AX37:BE37)</f>
        <v>7</v>
      </c>
      <c r="AX37" s="84">
        <v>109.596026014885</v>
      </c>
      <c r="AY37" s="40">
        <v>218.02699999999999</v>
      </c>
      <c r="AZ37" s="40">
        <v>319.726</v>
      </c>
      <c r="BA37" s="18"/>
      <c r="BB37" s="40">
        <v>345.118903954198</v>
      </c>
      <c r="BC37" s="40">
        <v>367.804700607359</v>
      </c>
      <c r="BD37" s="40">
        <v>287.00350707808798</v>
      </c>
      <c r="BE37" s="11">
        <v>138.82298069609999</v>
      </c>
      <c r="BF37" s="1"/>
      <c r="BG37" s="1"/>
      <c r="BH37" s="1"/>
      <c r="BI37" s="1"/>
      <c r="BJ37" s="1"/>
      <c r="BK37" s="1"/>
      <c r="BL37" s="1"/>
      <c r="BM37" s="4"/>
    </row>
    <row r="38" spans="1:65" x14ac:dyDescent="0.2">
      <c r="A38" s="108"/>
      <c r="B38" s="44">
        <v>2.79</v>
      </c>
      <c r="C38" s="20" t="e">
        <f t="shared" si="24"/>
        <v>#DIV/0!</v>
      </c>
      <c r="D38" s="18" t="e">
        <f t="shared" si="25"/>
        <v>#DIV/0!</v>
      </c>
      <c r="E38" s="11">
        <f t="shared" si="26"/>
        <v>0</v>
      </c>
      <c r="F38" s="99"/>
      <c r="G38" s="91"/>
      <c r="H38" s="91"/>
      <c r="I38" s="90"/>
      <c r="J38" s="91"/>
      <c r="K38" s="91"/>
      <c r="L38" s="91"/>
      <c r="M38" s="93"/>
      <c r="N38" s="1"/>
      <c r="O38" s="1"/>
      <c r="P38" s="1"/>
      <c r="Q38" s="1"/>
      <c r="R38" s="1"/>
      <c r="S38" s="1"/>
      <c r="T38" s="1"/>
      <c r="U38" s="4"/>
      <c r="W38" s="108"/>
      <c r="X38" s="44">
        <v>2.79</v>
      </c>
      <c r="Y38" s="20" t="e">
        <f t="shared" si="27"/>
        <v>#DIV/0!</v>
      </c>
      <c r="Z38" s="18" t="e">
        <f t="shared" si="28"/>
        <v>#DIV/0!</v>
      </c>
      <c r="AA38" s="11">
        <f t="shared" si="29"/>
        <v>0</v>
      </c>
      <c r="AB38" s="20"/>
      <c r="AC38" s="18"/>
      <c r="AD38" s="18"/>
      <c r="AE38" s="18"/>
      <c r="AF38" s="18"/>
      <c r="AG38" s="18"/>
      <c r="AH38" s="18"/>
      <c r="AI38" s="11"/>
      <c r="AJ38" s="1"/>
      <c r="AK38" s="1"/>
      <c r="AL38" s="1"/>
      <c r="AM38" s="1"/>
      <c r="AN38" s="1"/>
      <c r="AO38" s="1"/>
      <c r="AP38" s="1"/>
      <c r="AQ38" s="4"/>
      <c r="AS38" s="108"/>
      <c r="AT38" s="44">
        <v>2.79</v>
      </c>
      <c r="AU38" s="20" t="e">
        <f t="shared" si="30"/>
        <v>#DIV/0!</v>
      </c>
      <c r="AV38" s="18" t="e">
        <f t="shared" si="31"/>
        <v>#DIV/0!</v>
      </c>
      <c r="AW38" s="11">
        <f t="shared" si="32"/>
        <v>0</v>
      </c>
      <c r="AX38" s="20"/>
      <c r="AY38" s="18"/>
      <c r="AZ38" s="18"/>
      <c r="BA38" s="18"/>
      <c r="BB38" s="18"/>
      <c r="BC38" s="18"/>
      <c r="BD38" s="18"/>
      <c r="BE38" s="11"/>
      <c r="BF38" s="1"/>
      <c r="BG38" s="1"/>
      <c r="BH38" s="1"/>
      <c r="BI38" s="1"/>
      <c r="BJ38" s="1"/>
      <c r="BK38" s="1"/>
      <c r="BL38" s="1"/>
      <c r="BM38" s="4"/>
    </row>
    <row r="39" spans="1:65" x14ac:dyDescent="0.2">
      <c r="A39" s="108"/>
      <c r="B39" s="44">
        <v>5.35</v>
      </c>
      <c r="C39" s="20">
        <f t="shared" si="24"/>
        <v>9.8680834770202246</v>
      </c>
      <c r="D39" s="18">
        <f t="shared" si="25"/>
        <v>3.1548641654849026</v>
      </c>
      <c r="E39" s="11">
        <f t="shared" si="26"/>
        <v>8</v>
      </c>
      <c r="F39" s="89">
        <v>3.29734802246093</v>
      </c>
      <c r="G39" s="90">
        <v>12.556785583496</v>
      </c>
      <c r="H39" s="90">
        <v>11.8125915527343</v>
      </c>
      <c r="I39" s="90">
        <v>9.9002914428710902</v>
      </c>
      <c r="J39" s="90">
        <v>9.4079322814941406</v>
      </c>
      <c r="K39" s="90">
        <v>12.5077514648437</v>
      </c>
      <c r="L39" s="90">
        <v>11.7643508911132</v>
      </c>
      <c r="M39" s="93">
        <v>7.6976165771484304</v>
      </c>
      <c r="N39" s="1"/>
      <c r="O39" s="1"/>
      <c r="P39" s="1"/>
      <c r="Q39" s="1"/>
      <c r="R39" s="1"/>
      <c r="S39" s="1"/>
      <c r="T39" s="1"/>
      <c r="U39" s="4"/>
      <c r="W39" s="108"/>
      <c r="X39" s="44">
        <v>5.35</v>
      </c>
      <c r="Y39" s="20">
        <f t="shared" si="27"/>
        <v>5.523143291473386</v>
      </c>
      <c r="Z39" s="18">
        <f t="shared" si="28"/>
        <v>1.8391071826336576</v>
      </c>
      <c r="AA39" s="11">
        <f t="shared" si="29"/>
        <v>8</v>
      </c>
      <c r="AB39" s="20">
        <v>3.02268981933593</v>
      </c>
      <c r="AC39" s="18">
        <v>7.9181137084960902</v>
      </c>
      <c r="AD39" s="18">
        <v>5.5259704589843697</v>
      </c>
      <c r="AE39" s="18">
        <v>6.7264633178710902</v>
      </c>
      <c r="AF39" s="18">
        <v>2.9382057189941402</v>
      </c>
      <c r="AG39" s="18">
        <v>6.70941162109375</v>
      </c>
      <c r="AH39" s="18">
        <v>6.6984329223632804</v>
      </c>
      <c r="AI39" s="11">
        <v>4.6458587646484304</v>
      </c>
      <c r="AJ39" s="1"/>
      <c r="AK39" s="1"/>
      <c r="AL39" s="1"/>
      <c r="AM39" s="1"/>
      <c r="AN39" s="1"/>
      <c r="AO39" s="1"/>
      <c r="AP39" s="1"/>
      <c r="AQ39" s="4"/>
      <c r="AS39" s="108"/>
      <c r="AT39" s="44">
        <v>5.35</v>
      </c>
      <c r="AU39" s="20">
        <f t="shared" si="30"/>
        <v>270.67849785700224</v>
      </c>
      <c r="AV39" s="18">
        <f t="shared" si="31"/>
        <v>87.5246863535438</v>
      </c>
      <c r="AW39" s="11">
        <f t="shared" si="32"/>
        <v>8</v>
      </c>
      <c r="AX39" s="84">
        <v>159.22865714493099</v>
      </c>
      <c r="AY39" s="40">
        <v>222.87422507664701</v>
      </c>
      <c r="AZ39" s="40">
        <v>321.95384863189099</v>
      </c>
      <c r="BA39" s="40">
        <v>235.42236600677799</v>
      </c>
      <c r="BB39" s="40">
        <v>341.88411230400197</v>
      </c>
      <c r="BC39" s="40">
        <v>420.406680027314</v>
      </c>
      <c r="BD39" s="40">
        <v>279.46409366445499</v>
      </c>
      <c r="BE39" s="11">
        <v>184.19399999999999</v>
      </c>
      <c r="BF39" s="1"/>
      <c r="BG39" s="1"/>
      <c r="BH39" s="1"/>
      <c r="BI39" s="1"/>
      <c r="BJ39" s="1"/>
      <c r="BK39" s="1"/>
      <c r="BL39" s="1"/>
      <c r="BM39" s="4"/>
    </row>
    <row r="40" spans="1:65" x14ac:dyDescent="0.2">
      <c r="A40" s="108"/>
      <c r="B40" s="44">
        <v>10</v>
      </c>
      <c r="C40" s="20">
        <f t="shared" si="24"/>
        <v>8.8914985656738157</v>
      </c>
      <c r="D40" s="18">
        <f t="shared" si="25"/>
        <v>2.5212472177475522</v>
      </c>
      <c r="E40" s="11">
        <f t="shared" si="26"/>
        <v>6</v>
      </c>
      <c r="F40" s="89">
        <v>3.8599319458007799</v>
      </c>
      <c r="G40" s="90">
        <v>10.6862983703613</v>
      </c>
      <c r="H40" s="90"/>
      <c r="I40" s="90"/>
      <c r="J40" s="90">
        <v>9.8288459777831996</v>
      </c>
      <c r="K40" s="90">
        <v>10.2198791503906</v>
      </c>
      <c r="L40" s="90">
        <v>9.1212882995605398</v>
      </c>
      <c r="M40" s="93">
        <v>9.6327476501464808</v>
      </c>
      <c r="N40" s="1"/>
      <c r="O40" s="1"/>
      <c r="P40" s="1"/>
      <c r="Q40" s="1"/>
      <c r="R40" s="1"/>
      <c r="S40" s="1"/>
      <c r="T40" s="1"/>
      <c r="U40" s="4"/>
      <c r="W40" s="108"/>
      <c r="X40" s="44">
        <v>10</v>
      </c>
      <c r="Y40" s="20">
        <f t="shared" si="27"/>
        <v>4.8021430969238237</v>
      </c>
      <c r="Z40" s="18">
        <f t="shared" si="28"/>
        <v>1.1226090806395863</v>
      </c>
      <c r="AA40" s="11">
        <f t="shared" si="29"/>
        <v>6</v>
      </c>
      <c r="AB40" s="20">
        <v>3.5852737426757799</v>
      </c>
      <c r="AC40" s="18">
        <v>6.7190132141113201</v>
      </c>
      <c r="AD40" s="18"/>
      <c r="AE40" s="18"/>
      <c r="AF40" s="18">
        <v>4.2441291809081996</v>
      </c>
      <c r="AG40" s="18">
        <v>5.3065490722656197</v>
      </c>
      <c r="AH40" s="18">
        <v>4.9098625183105398</v>
      </c>
      <c r="AI40" s="11">
        <v>4.0480308532714799</v>
      </c>
      <c r="AJ40" s="1"/>
      <c r="AK40" s="1"/>
      <c r="AL40" s="1"/>
      <c r="AM40" s="1"/>
      <c r="AN40" s="1"/>
      <c r="AO40" s="1"/>
      <c r="AP40" s="1"/>
      <c r="AQ40" s="4"/>
      <c r="AS40" s="108"/>
      <c r="AT40" s="44">
        <v>10</v>
      </c>
      <c r="AU40" s="20">
        <f t="shared" si="30"/>
        <v>295.28165466566998</v>
      </c>
      <c r="AV40" s="18">
        <f t="shared" si="31"/>
        <v>104.24092475244711</v>
      </c>
      <c r="AW40" s="11">
        <f t="shared" si="32"/>
        <v>6</v>
      </c>
      <c r="AX40" s="84">
        <v>167.85578138409599</v>
      </c>
      <c r="AY40" s="40">
        <v>215.347877917522</v>
      </c>
      <c r="AZ40" s="18"/>
      <c r="BA40" s="18"/>
      <c r="BB40" s="40">
        <v>266.79720726886899</v>
      </c>
      <c r="BC40" s="40">
        <v>367.932527924363</v>
      </c>
      <c r="BD40" s="40">
        <v>298.46091285539097</v>
      </c>
      <c r="BE40" s="11">
        <v>455.29562064377899</v>
      </c>
      <c r="BF40" s="1"/>
      <c r="BG40" s="1"/>
      <c r="BH40" s="1"/>
      <c r="BI40" s="1"/>
      <c r="BJ40" s="1"/>
      <c r="BK40" s="1"/>
      <c r="BL40" s="1"/>
      <c r="BM40" s="4"/>
    </row>
    <row r="41" spans="1:65" x14ac:dyDescent="0.2">
      <c r="A41" s="108"/>
      <c r="B41" s="45">
        <v>15</v>
      </c>
      <c r="C41" s="20" t="e">
        <f t="shared" si="24"/>
        <v>#DIV/0!</v>
      </c>
      <c r="D41" s="18" t="e">
        <f t="shared" si="25"/>
        <v>#DIV/0!</v>
      </c>
      <c r="E41" s="11">
        <f t="shared" si="26"/>
        <v>0</v>
      </c>
      <c r="F41" s="99"/>
      <c r="G41" s="91"/>
      <c r="H41" s="91"/>
      <c r="I41" s="91"/>
      <c r="J41" s="91"/>
      <c r="K41" s="91"/>
      <c r="L41" s="91"/>
      <c r="M41" s="93"/>
      <c r="N41" s="1"/>
      <c r="O41" s="1"/>
      <c r="P41" s="1"/>
      <c r="Q41" s="1"/>
      <c r="R41" s="1"/>
      <c r="S41" s="1"/>
      <c r="T41" s="1"/>
      <c r="U41" s="4"/>
      <c r="W41" s="108"/>
      <c r="X41" s="45">
        <v>15</v>
      </c>
      <c r="Y41" s="20" t="e">
        <f t="shared" si="27"/>
        <v>#DIV/0!</v>
      </c>
      <c r="Z41" s="18" t="e">
        <f t="shared" si="28"/>
        <v>#DIV/0!</v>
      </c>
      <c r="AA41" s="11">
        <f t="shared" si="29"/>
        <v>0</v>
      </c>
      <c r="AB41" s="20"/>
      <c r="AC41" s="18"/>
      <c r="AD41" s="18"/>
      <c r="AE41" s="18"/>
      <c r="AF41" s="18"/>
      <c r="AG41" s="18"/>
      <c r="AH41" s="18"/>
      <c r="AI41" s="11"/>
      <c r="AJ41" s="1"/>
      <c r="AK41" s="1"/>
      <c r="AL41" s="1"/>
      <c r="AM41" s="1"/>
      <c r="AN41" s="1"/>
      <c r="AO41" s="1"/>
      <c r="AP41" s="1"/>
      <c r="AQ41" s="4"/>
      <c r="AS41" s="108"/>
      <c r="AT41" s="45">
        <v>15</v>
      </c>
      <c r="AU41" s="20" t="e">
        <f t="shared" si="30"/>
        <v>#DIV/0!</v>
      </c>
      <c r="AV41" s="18" t="e">
        <f t="shared" si="31"/>
        <v>#DIV/0!</v>
      </c>
      <c r="AW41" s="11">
        <f t="shared" si="32"/>
        <v>0</v>
      </c>
      <c r="AX41" s="20"/>
      <c r="AY41" s="18"/>
      <c r="AZ41" s="18"/>
      <c r="BA41" s="18"/>
      <c r="BB41" s="18"/>
      <c r="BC41" s="18"/>
      <c r="BD41" s="18"/>
      <c r="BE41" s="11"/>
      <c r="BF41" s="1"/>
      <c r="BG41" s="1"/>
      <c r="BH41" s="1"/>
      <c r="BI41" s="1"/>
      <c r="BJ41" s="1"/>
      <c r="BK41" s="1"/>
      <c r="BL41" s="1"/>
      <c r="BM41" s="4"/>
    </row>
    <row r="42" spans="1:65" x14ac:dyDescent="0.2">
      <c r="A42" s="108"/>
      <c r="B42" s="44">
        <v>20.23</v>
      </c>
      <c r="C42" s="20">
        <f t="shared" si="24"/>
        <v>9.3797798156738033</v>
      </c>
      <c r="D42" s="18">
        <f t="shared" si="25"/>
        <v>2.483371115364553</v>
      </c>
      <c r="E42" s="11">
        <f t="shared" si="26"/>
        <v>6</v>
      </c>
      <c r="F42" s="89">
        <v>4.4092483520507804</v>
      </c>
      <c r="G42" s="90">
        <v>10.9609565734863</v>
      </c>
      <c r="H42" s="90"/>
      <c r="I42" s="90"/>
      <c r="J42" s="90">
        <v>10.6833381652832</v>
      </c>
      <c r="K42" s="90">
        <v>10.5860900878906</v>
      </c>
      <c r="L42" s="90">
        <v>9.6095695495605398</v>
      </c>
      <c r="M42" s="93">
        <v>10.029476165771401</v>
      </c>
      <c r="N42" s="1"/>
      <c r="O42" s="1"/>
      <c r="P42" s="1"/>
      <c r="Q42" s="1"/>
      <c r="R42" s="1"/>
      <c r="S42" s="1"/>
      <c r="T42" s="1"/>
      <c r="U42" s="4"/>
      <c r="W42" s="108"/>
      <c r="X42" s="44">
        <v>20.23</v>
      </c>
      <c r="Y42" s="20">
        <f t="shared" si="27"/>
        <v>4.9038683573404898</v>
      </c>
      <c r="Z42" s="18">
        <f t="shared" si="28"/>
        <v>0.91958635580941506</v>
      </c>
      <c r="AA42" s="11">
        <f t="shared" si="29"/>
        <v>6</v>
      </c>
      <c r="AB42" s="20">
        <v>4.1345901489257804</v>
      </c>
      <c r="AC42" s="18">
        <v>6.6579780578613201</v>
      </c>
      <c r="AD42" s="18"/>
      <c r="AE42" s="18"/>
      <c r="AF42" s="18">
        <v>4.5798225402831996</v>
      </c>
      <c r="AG42" s="18">
        <v>4.9403381347656197</v>
      </c>
      <c r="AH42" s="18">
        <v>4.8793449401855398</v>
      </c>
      <c r="AI42" s="11">
        <v>4.2311363220214799</v>
      </c>
      <c r="AJ42" s="1"/>
      <c r="AK42" s="1"/>
      <c r="AL42" s="1"/>
      <c r="AM42" s="1"/>
      <c r="AN42" s="1"/>
      <c r="AO42" s="1"/>
      <c r="AP42" s="1"/>
      <c r="AQ42" s="4"/>
      <c r="AS42" s="108"/>
      <c r="AT42" s="44">
        <v>20.23</v>
      </c>
      <c r="AU42" s="20">
        <f t="shared" si="30"/>
        <v>279.94659717571164</v>
      </c>
      <c r="AV42" s="18">
        <f t="shared" si="31"/>
        <v>75.610137614537877</v>
      </c>
      <c r="AW42" s="11">
        <f t="shared" si="32"/>
        <v>6</v>
      </c>
      <c r="AX42" s="84">
        <v>189.60586542863399</v>
      </c>
      <c r="AY42" s="40">
        <v>196.61532029977101</v>
      </c>
      <c r="AZ42" s="18"/>
      <c r="BA42" s="18"/>
      <c r="BB42" s="40">
        <v>314.85627513691202</v>
      </c>
      <c r="BC42" s="40">
        <v>368.88157804843598</v>
      </c>
      <c r="BD42" s="40">
        <v>265.43048510414798</v>
      </c>
      <c r="BE42" s="11">
        <v>344.29005903636897</v>
      </c>
      <c r="BF42" s="1"/>
      <c r="BG42" s="1"/>
      <c r="BH42" s="1"/>
      <c r="BI42" s="1"/>
      <c r="BJ42" s="1"/>
      <c r="BK42" s="1"/>
      <c r="BL42" s="1"/>
      <c r="BM42" s="4"/>
    </row>
    <row r="43" spans="1:65" x14ac:dyDescent="0.2">
      <c r="A43" s="108"/>
      <c r="B43" s="46">
        <v>30.47</v>
      </c>
      <c r="C43" s="8">
        <f t="shared" si="24"/>
        <v>9.5069363911946372</v>
      </c>
      <c r="D43" s="9">
        <f t="shared" si="25"/>
        <v>2.3040871793915829</v>
      </c>
      <c r="E43" s="10">
        <f t="shared" si="26"/>
        <v>6</v>
      </c>
      <c r="F43" s="94">
        <v>4.8975296020507804</v>
      </c>
      <c r="G43" s="95">
        <v>10.9914741516113</v>
      </c>
      <c r="H43" s="95"/>
      <c r="I43" s="95"/>
      <c r="J43" s="95">
        <v>10.8054084777832</v>
      </c>
      <c r="K43" s="95">
        <v>10.5250549316406</v>
      </c>
      <c r="L43" s="95">
        <v>9.7621574401855398</v>
      </c>
      <c r="M43" s="97">
        <v>10.059993743896401</v>
      </c>
      <c r="N43" s="1"/>
      <c r="O43" s="1"/>
      <c r="P43" s="1"/>
      <c r="Q43" s="1"/>
      <c r="R43" s="1"/>
      <c r="S43" s="1"/>
      <c r="T43" s="1"/>
      <c r="U43" s="4"/>
      <c r="W43" s="108"/>
      <c r="X43" s="46">
        <v>30.47</v>
      </c>
      <c r="Y43" s="8">
        <f t="shared" si="27"/>
        <v>5.1632677714029898</v>
      </c>
      <c r="Z43" s="9">
        <f t="shared" si="28"/>
        <v>1.0619412466533165</v>
      </c>
      <c r="AA43" s="10">
        <f t="shared" si="29"/>
        <v>6</v>
      </c>
      <c r="AB43" s="8">
        <v>4.5313186645507804</v>
      </c>
      <c r="AC43" s="9">
        <v>6.7190132141113201</v>
      </c>
      <c r="AD43" s="21"/>
      <c r="AE43" s="21"/>
      <c r="AF43" s="9">
        <v>4.2746467590331996</v>
      </c>
      <c r="AG43" s="9">
        <v>6.2831115722656197</v>
      </c>
      <c r="AH43" s="9">
        <v>4.8183097839355398</v>
      </c>
      <c r="AI43" s="10">
        <v>4.3532066345214799</v>
      </c>
      <c r="AJ43" s="1"/>
      <c r="AK43" s="1"/>
      <c r="AL43" s="1"/>
      <c r="AM43" s="1"/>
      <c r="AN43" s="1"/>
      <c r="AO43" s="1"/>
      <c r="AP43" s="1"/>
      <c r="AQ43" s="4"/>
      <c r="AS43" s="108"/>
      <c r="AT43" s="46">
        <v>30.47</v>
      </c>
      <c r="AU43" s="8">
        <f t="shared" si="30"/>
        <v>292.98581261837654</v>
      </c>
      <c r="AV43" s="9">
        <f t="shared" si="31"/>
        <v>94.380426096448289</v>
      </c>
      <c r="AW43" s="10">
        <f t="shared" si="32"/>
        <v>6</v>
      </c>
      <c r="AX43" s="85">
        <v>189.58535455277101</v>
      </c>
      <c r="AY43" s="21">
        <v>189.47761035472899</v>
      </c>
      <c r="AZ43" s="9"/>
      <c r="BA43" s="9"/>
      <c r="BB43" s="21">
        <v>416.05591550585001</v>
      </c>
      <c r="BC43" s="21">
        <v>356.74995402945399</v>
      </c>
      <c r="BD43" s="21">
        <v>259.90043697623702</v>
      </c>
      <c r="BE43" s="10">
        <v>346.14560429121798</v>
      </c>
      <c r="BF43" s="1"/>
      <c r="BG43" s="1"/>
      <c r="BH43" s="1"/>
      <c r="BI43" s="1"/>
      <c r="BJ43" s="1"/>
      <c r="BK43" s="1"/>
      <c r="BL43" s="1"/>
      <c r="BM43" s="4"/>
    </row>
    <row r="44" spans="1:65" x14ac:dyDescent="0.2">
      <c r="A44" s="108"/>
      <c r="B44" s="1"/>
      <c r="C44" s="1"/>
      <c r="D44" s="1"/>
      <c r="E44" s="1"/>
      <c r="F44" s="1"/>
      <c r="G44" s="1"/>
      <c r="H44" s="1"/>
      <c r="I44" s="1"/>
      <c r="J44" s="1"/>
      <c r="K44" s="52"/>
      <c r="L44" s="1"/>
      <c r="M44" s="1"/>
      <c r="N44" s="1"/>
      <c r="O44" s="1"/>
      <c r="P44" s="1"/>
      <c r="Q44" s="1"/>
      <c r="R44" s="1"/>
      <c r="S44" s="1"/>
      <c r="T44" s="1"/>
      <c r="U44" s="4"/>
      <c r="W44" s="108"/>
      <c r="X44" s="1"/>
      <c r="Y44" s="1"/>
      <c r="Z44" s="1"/>
      <c r="AA44" s="1"/>
      <c r="AB44" s="1"/>
      <c r="AC44" s="1"/>
      <c r="AD44" s="1"/>
      <c r="AE44" s="1"/>
      <c r="AF44" s="1"/>
      <c r="AG44" s="52"/>
      <c r="AH44" s="1"/>
      <c r="AI44" s="1"/>
      <c r="AJ44" s="1"/>
      <c r="AK44" s="1"/>
      <c r="AL44" s="1"/>
      <c r="AM44" s="1"/>
      <c r="AN44" s="1"/>
      <c r="AO44" s="1"/>
      <c r="AP44" s="1"/>
      <c r="AQ44" s="4"/>
      <c r="AS44" s="108"/>
      <c r="AT44" s="1"/>
      <c r="AU44" s="1"/>
      <c r="AV44" s="1"/>
      <c r="AW44" s="1"/>
      <c r="AX44" s="1"/>
      <c r="AY44" s="1"/>
      <c r="AZ44" s="1"/>
      <c r="BA44" s="1"/>
      <c r="BB44" s="1"/>
      <c r="BC44" s="52"/>
      <c r="BD44" s="1"/>
      <c r="BE44" s="1"/>
      <c r="BF44" s="1"/>
      <c r="BG44" s="1"/>
      <c r="BH44" s="1"/>
      <c r="BI44" s="1"/>
      <c r="BJ44" s="1"/>
      <c r="BK44" s="1"/>
      <c r="BL44" s="1"/>
      <c r="BM44" s="4"/>
    </row>
    <row r="45" spans="1:65" x14ac:dyDescent="0.2">
      <c r="A45" s="108"/>
      <c r="B45" s="144" t="s">
        <v>1</v>
      </c>
      <c r="C45" s="145"/>
      <c r="D45" s="145"/>
      <c r="E45" s="145"/>
      <c r="F45" s="145"/>
      <c r="G45" s="146"/>
      <c r="H45" s="1"/>
      <c r="I45" s="1"/>
      <c r="J45" s="52"/>
      <c r="K45" s="1"/>
      <c r="L45" s="1"/>
      <c r="M45" s="1"/>
      <c r="N45" s="1"/>
      <c r="O45" s="1"/>
      <c r="P45" s="1"/>
      <c r="Q45" s="1"/>
      <c r="R45" s="1"/>
      <c r="S45" s="1"/>
      <c r="T45" s="1"/>
      <c r="U45" s="4"/>
      <c r="W45" s="108"/>
      <c r="X45" s="144" t="s">
        <v>1</v>
      </c>
      <c r="Y45" s="145"/>
      <c r="Z45" s="145"/>
      <c r="AA45" s="145"/>
      <c r="AB45" s="145"/>
      <c r="AC45" s="146"/>
      <c r="AD45" s="1"/>
      <c r="AE45" s="1"/>
      <c r="AF45" s="5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4"/>
      <c r="AS45" s="108"/>
      <c r="AT45" s="144" t="s">
        <v>1</v>
      </c>
      <c r="AU45" s="145"/>
      <c r="AV45" s="145"/>
      <c r="AW45" s="145"/>
      <c r="AX45" s="145"/>
      <c r="AY45" s="146"/>
      <c r="AZ45" s="1"/>
      <c r="BA45" s="1"/>
      <c r="BB45" s="52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4"/>
    </row>
    <row r="46" spans="1:65" x14ac:dyDescent="0.2">
      <c r="A46" s="108"/>
      <c r="B46" s="147" t="s">
        <v>9</v>
      </c>
      <c r="C46" s="81" t="s">
        <v>3</v>
      </c>
      <c r="D46" s="82" t="s">
        <v>5</v>
      </c>
      <c r="E46" s="83" t="s">
        <v>4</v>
      </c>
      <c r="F46" s="114" t="s">
        <v>10</v>
      </c>
      <c r="G46" s="116"/>
      <c r="H46" s="1"/>
      <c r="I46" s="1"/>
      <c r="J46" s="52"/>
      <c r="K46" s="1"/>
      <c r="L46" s="1"/>
      <c r="M46" s="1"/>
      <c r="N46" s="1"/>
      <c r="O46" s="1"/>
      <c r="P46" s="1"/>
      <c r="Q46" s="1"/>
      <c r="R46" s="1"/>
      <c r="S46" s="1"/>
      <c r="T46" s="1"/>
      <c r="U46" s="4"/>
      <c r="W46" s="108"/>
      <c r="X46" s="147" t="s">
        <v>9</v>
      </c>
      <c r="Y46" s="12" t="s">
        <v>3</v>
      </c>
      <c r="Z46" s="12" t="s">
        <v>5</v>
      </c>
      <c r="AA46" s="13" t="s">
        <v>4</v>
      </c>
      <c r="AB46" s="114" t="s">
        <v>10</v>
      </c>
      <c r="AC46" s="116"/>
      <c r="AD46" s="1"/>
      <c r="AE46" s="1"/>
      <c r="AF46" s="5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4"/>
      <c r="AS46" s="108"/>
      <c r="AT46" s="147" t="s">
        <v>9</v>
      </c>
      <c r="AU46" s="81" t="s">
        <v>3</v>
      </c>
      <c r="AV46" s="82" t="s">
        <v>5</v>
      </c>
      <c r="AW46" s="83" t="s">
        <v>4</v>
      </c>
      <c r="AX46" s="114" t="s">
        <v>10</v>
      </c>
      <c r="AY46" s="116"/>
      <c r="AZ46" s="1"/>
      <c r="BA46" s="1"/>
      <c r="BB46" s="52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4"/>
    </row>
    <row r="47" spans="1:65" x14ac:dyDescent="0.2">
      <c r="A47" s="108"/>
      <c r="B47" s="130"/>
      <c r="C47" s="128" t="s">
        <v>11</v>
      </c>
      <c r="D47" s="117"/>
      <c r="E47" s="118"/>
      <c r="F47" s="8">
        <v>107</v>
      </c>
      <c r="G47" s="10">
        <v>111</v>
      </c>
      <c r="H47" s="1"/>
      <c r="I47" s="5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/>
      <c r="W47" s="108"/>
      <c r="X47" s="130"/>
      <c r="Y47" s="119" t="s">
        <v>11</v>
      </c>
      <c r="Z47" s="119"/>
      <c r="AA47" s="120"/>
      <c r="AB47" s="8">
        <v>107</v>
      </c>
      <c r="AC47" s="10">
        <v>111</v>
      </c>
      <c r="AD47" s="1"/>
      <c r="AE47" s="52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4"/>
      <c r="AS47" s="108"/>
      <c r="AT47" s="130"/>
      <c r="AU47" s="128" t="s">
        <v>11</v>
      </c>
      <c r="AV47" s="117"/>
      <c r="AW47" s="118"/>
      <c r="AX47" s="8">
        <v>107</v>
      </c>
      <c r="AY47" s="10">
        <v>111</v>
      </c>
      <c r="AZ47" s="1"/>
      <c r="BA47" s="52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4"/>
    </row>
    <row r="48" spans="1:65" x14ac:dyDescent="0.2">
      <c r="A48" s="108"/>
      <c r="B48" s="44">
        <v>1.05</v>
      </c>
      <c r="C48" s="20" t="e">
        <f>AVERAGE(F48:G48)</f>
        <v>#DIV/0!</v>
      </c>
      <c r="D48" s="18" t="e">
        <f>STDEV(F48:G48)</f>
        <v>#DIV/0!</v>
      </c>
      <c r="E48" s="11">
        <f>COUNT(F48:G48)</f>
        <v>0</v>
      </c>
      <c r="F48" s="40"/>
      <c r="G48" s="47"/>
      <c r="H48" s="1"/>
      <c r="I48" s="5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/>
      <c r="W48" s="108"/>
      <c r="X48" s="44">
        <v>1.05</v>
      </c>
      <c r="Y48" s="20" t="e">
        <f>AVERAGE(AB48:AC48)</f>
        <v>#DIV/0!</v>
      </c>
      <c r="Z48" s="18" t="e">
        <f>STDEV(AB48:AC48)</f>
        <v>#DIV/0!</v>
      </c>
      <c r="AA48" s="11">
        <f>COUNT(AB48:AC48)</f>
        <v>0</v>
      </c>
      <c r="AB48" s="42"/>
      <c r="AC48" s="17"/>
      <c r="AD48" s="1"/>
      <c r="AE48" s="52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4"/>
      <c r="AS48" s="108"/>
      <c r="AT48" s="44">
        <v>1.05</v>
      </c>
      <c r="AU48" s="20" t="e">
        <f>AVERAGE(AX48:AY48)</f>
        <v>#DIV/0!</v>
      </c>
      <c r="AV48" s="18" t="e">
        <f>STDEV(AX48:AY48)</f>
        <v>#DIV/0!</v>
      </c>
      <c r="AW48" s="11">
        <f>COUNT(AX48:AY48)</f>
        <v>0</v>
      </c>
      <c r="AX48" s="88"/>
      <c r="AY48" s="50"/>
      <c r="AZ48" s="1"/>
      <c r="BA48" s="52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4"/>
    </row>
    <row r="49" spans="1:65" x14ac:dyDescent="0.2">
      <c r="A49" s="108"/>
      <c r="B49" s="59">
        <v>2</v>
      </c>
      <c r="C49" s="20" t="e">
        <f t="shared" ref="C49:C55" si="33">AVERAGE(F49:G49)</f>
        <v>#DIV/0!</v>
      </c>
      <c r="D49" s="18" t="e">
        <f t="shared" ref="D49:D55" si="34">STDEV(F49:G49)</f>
        <v>#DIV/0!</v>
      </c>
      <c r="E49" s="11">
        <f t="shared" ref="E49:E55" si="35">COUNT(F49:G49)</f>
        <v>0</v>
      </c>
      <c r="F49" s="40"/>
      <c r="G49" s="47"/>
      <c r="H49" s="1"/>
      <c r="I49" s="5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/>
      <c r="W49" s="108"/>
      <c r="X49" s="59">
        <v>2</v>
      </c>
      <c r="Y49" s="20" t="e">
        <f t="shared" ref="Y49:Y55" si="36">AVERAGE(AB49:AC49)</f>
        <v>#DIV/0!</v>
      </c>
      <c r="Z49" s="18" t="e">
        <f t="shared" ref="Z49:Z55" si="37">STDEV(AB49:AC49)</f>
        <v>#DIV/0!</v>
      </c>
      <c r="AA49" s="11">
        <f t="shared" ref="AA49:AA55" si="38">COUNT(AB49:AC49)</f>
        <v>0</v>
      </c>
      <c r="AB49" s="20"/>
      <c r="AC49" s="11"/>
      <c r="AD49" s="1"/>
      <c r="AE49" s="52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4"/>
      <c r="AS49" s="108"/>
      <c r="AT49" s="59">
        <v>2</v>
      </c>
      <c r="AU49" s="20" t="e">
        <f t="shared" ref="AU49:AU55" si="39">AVERAGE(AX49:AY49)</f>
        <v>#DIV/0!</v>
      </c>
      <c r="AV49" s="18" t="e">
        <f t="shared" ref="AV49:AV55" si="40">STDEV(AX49:AY49)</f>
        <v>#DIV/0!</v>
      </c>
      <c r="AW49" s="11">
        <f t="shared" ref="AW49:AW55" si="41">COUNT(AX49:AY49)</f>
        <v>0</v>
      </c>
      <c r="AX49" s="84"/>
      <c r="AY49" s="47"/>
      <c r="AZ49" s="1"/>
      <c r="BA49" s="52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</row>
    <row r="50" spans="1:65" x14ac:dyDescent="0.2">
      <c r="A50" s="108"/>
      <c r="B50" s="44">
        <v>2.79</v>
      </c>
      <c r="C50" s="20" t="e">
        <f t="shared" si="33"/>
        <v>#DIV/0!</v>
      </c>
      <c r="D50" s="18" t="e">
        <f t="shared" si="34"/>
        <v>#DIV/0!</v>
      </c>
      <c r="E50" s="11">
        <f t="shared" si="35"/>
        <v>0</v>
      </c>
      <c r="F50" s="18"/>
      <c r="G50" s="11"/>
      <c r="H50" s="1"/>
      <c r="I50" s="5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/>
      <c r="W50" s="108"/>
      <c r="X50" s="44">
        <v>2.79</v>
      </c>
      <c r="Y50" s="20" t="e">
        <f t="shared" si="36"/>
        <v>#DIV/0!</v>
      </c>
      <c r="Z50" s="18" t="e">
        <f t="shared" si="37"/>
        <v>#DIV/0!</v>
      </c>
      <c r="AA50" s="11">
        <f t="shared" si="38"/>
        <v>0</v>
      </c>
      <c r="AB50" s="20"/>
      <c r="AC50" s="11"/>
      <c r="AD50" s="1"/>
      <c r="AE50" s="52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4"/>
      <c r="AS50" s="108"/>
      <c r="AT50" s="44">
        <v>2.79</v>
      </c>
      <c r="AU50" s="20" t="e">
        <f t="shared" si="39"/>
        <v>#DIV/0!</v>
      </c>
      <c r="AV50" s="18" t="e">
        <f t="shared" si="40"/>
        <v>#DIV/0!</v>
      </c>
      <c r="AW50" s="11">
        <f t="shared" si="41"/>
        <v>0</v>
      </c>
      <c r="AX50" s="20"/>
      <c r="AY50" s="11"/>
      <c r="AZ50" s="1"/>
      <c r="BA50" s="52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</row>
    <row r="51" spans="1:65" x14ac:dyDescent="0.2">
      <c r="A51" s="108"/>
      <c r="B51" s="44">
        <v>5.35</v>
      </c>
      <c r="C51" s="20">
        <f t="shared" si="33"/>
        <v>-11.704875946044901</v>
      </c>
      <c r="D51" s="18" t="e">
        <f t="shared" si="34"/>
        <v>#DIV/0!</v>
      </c>
      <c r="E51" s="11">
        <f t="shared" si="35"/>
        <v>1</v>
      </c>
      <c r="F51" s="40">
        <f>-11.7048759460449</f>
        <v>-11.704875946044901</v>
      </c>
      <c r="G51" s="47"/>
      <c r="H51" s="1"/>
      <c r="I51" s="5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/>
      <c r="W51" s="108"/>
      <c r="X51" s="44">
        <v>5.35</v>
      </c>
      <c r="Y51" s="20">
        <f t="shared" si="36"/>
        <v>-9.2634696960449201</v>
      </c>
      <c r="Z51" s="18" t="e">
        <f t="shared" si="37"/>
        <v>#DIV/0!</v>
      </c>
      <c r="AA51" s="11">
        <f t="shared" si="38"/>
        <v>1</v>
      </c>
      <c r="AB51" s="84">
        <f>-9.26346969604492</f>
        <v>-9.2634696960449201</v>
      </c>
      <c r="AC51" s="11"/>
      <c r="AD51" s="1"/>
      <c r="AE51" s="52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4"/>
      <c r="AS51" s="108"/>
      <c r="AT51" s="44">
        <v>5.35</v>
      </c>
      <c r="AU51" s="20">
        <f t="shared" si="39"/>
        <v>32.476291129526601</v>
      </c>
      <c r="AV51" s="18" t="e">
        <f t="shared" si="40"/>
        <v>#DIV/0!</v>
      </c>
      <c r="AW51" s="11">
        <f t="shared" si="41"/>
        <v>1</v>
      </c>
      <c r="AX51" s="84">
        <v>32.476291129526601</v>
      </c>
      <c r="AY51" s="47"/>
      <c r="AZ51" s="1"/>
      <c r="BA51" s="52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</row>
    <row r="52" spans="1:65" x14ac:dyDescent="0.2">
      <c r="A52" s="108"/>
      <c r="B52" s="44">
        <v>10</v>
      </c>
      <c r="C52" s="20">
        <f t="shared" si="33"/>
        <v>-18.83083915710445</v>
      </c>
      <c r="D52" s="18">
        <f t="shared" si="34"/>
        <v>4.9676824696337301</v>
      </c>
      <c r="E52" s="11">
        <f t="shared" si="35"/>
        <v>2</v>
      </c>
      <c r="F52" s="40">
        <f>-15.3181571960449</f>
        <v>-15.318157196044901</v>
      </c>
      <c r="G52" s="47">
        <f>-22.343521118164</f>
        <v>-22.343521118163999</v>
      </c>
      <c r="H52" s="1"/>
      <c r="I52" s="5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/>
      <c r="W52" s="108"/>
      <c r="X52" s="44">
        <v>10</v>
      </c>
      <c r="Y52" s="20">
        <f t="shared" si="36"/>
        <v>-13.24917411804195</v>
      </c>
      <c r="Z52" s="18">
        <f t="shared" si="37"/>
        <v>3.0514507139768421</v>
      </c>
      <c r="AA52" s="11">
        <f t="shared" si="38"/>
        <v>2</v>
      </c>
      <c r="AB52" s="84">
        <f>-11.0914726257324</f>
        <v>-11.091472625732401</v>
      </c>
      <c r="AC52" s="47">
        <f>-15.4068756103515</f>
        <v>-15.4068756103515</v>
      </c>
      <c r="AD52" s="1"/>
      <c r="AE52" s="52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4"/>
      <c r="AS52" s="108"/>
      <c r="AT52" s="44">
        <v>10</v>
      </c>
      <c r="AU52" s="20">
        <f t="shared" si="39"/>
        <v>30.211755462916301</v>
      </c>
      <c r="AV52" s="18">
        <f t="shared" si="40"/>
        <v>4.283585830035487</v>
      </c>
      <c r="AW52" s="11">
        <f t="shared" si="41"/>
        <v>2</v>
      </c>
      <c r="AX52" s="84">
        <v>33.240708051128998</v>
      </c>
      <c r="AY52" s="47">
        <v>27.182802874703601</v>
      </c>
      <c r="AZ52" s="1"/>
      <c r="BA52" s="52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</row>
    <row r="53" spans="1:65" x14ac:dyDescent="0.2">
      <c r="A53" s="108"/>
      <c r="B53" s="45">
        <v>15</v>
      </c>
      <c r="C53" s="20">
        <f t="shared" si="33"/>
        <v>-22.2015056610107</v>
      </c>
      <c r="D53" s="18">
        <f t="shared" si="34"/>
        <v>7.7319762522874367</v>
      </c>
      <c r="E53" s="11">
        <f t="shared" si="35"/>
        <v>2</v>
      </c>
      <c r="F53" s="40">
        <f>-16.7341728210449</f>
        <v>-16.734172821044901</v>
      </c>
      <c r="G53" s="47">
        <f>-27.6688385009765</f>
        <v>-27.668838500976499</v>
      </c>
      <c r="H53" s="1"/>
      <c r="I53" s="5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/>
      <c r="W53" s="108"/>
      <c r="X53" s="45">
        <v>15</v>
      </c>
      <c r="Y53" s="20">
        <f t="shared" si="36"/>
        <v>-15.92861747741695</v>
      </c>
      <c r="Z53" s="18">
        <f t="shared" si="37"/>
        <v>5.7617965305365955</v>
      </c>
      <c r="AA53" s="11">
        <f t="shared" si="38"/>
        <v>2</v>
      </c>
      <c r="AB53" s="84">
        <f>-11.8544120788574</f>
        <v>-11.854412078857401</v>
      </c>
      <c r="AC53" s="47">
        <f>-20.0028228759765</f>
        <v>-20.002822875976499</v>
      </c>
      <c r="AD53" s="1"/>
      <c r="AE53" s="52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4"/>
      <c r="AS53" s="108"/>
      <c r="AT53" s="45">
        <v>15</v>
      </c>
      <c r="AU53" s="20">
        <f t="shared" si="39"/>
        <v>32.417415930767604</v>
      </c>
      <c r="AV53" s="18">
        <f t="shared" si="40"/>
        <v>1.2188536253466162</v>
      </c>
      <c r="AW53" s="11">
        <f t="shared" si="41"/>
        <v>2</v>
      </c>
      <c r="AX53" s="84">
        <v>33.279275594524002</v>
      </c>
      <c r="AY53" s="47">
        <v>31.555556267011202</v>
      </c>
      <c r="AZ53" s="1"/>
      <c r="BA53" s="52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</row>
    <row r="54" spans="1:65" x14ac:dyDescent="0.2">
      <c r="A54" s="108"/>
      <c r="B54" s="44">
        <v>20.23</v>
      </c>
      <c r="C54" s="20">
        <f t="shared" si="33"/>
        <v>-24.0905437469482</v>
      </c>
      <c r="D54" s="18">
        <f t="shared" si="34"/>
        <v>8.5951437097905572</v>
      </c>
      <c r="E54" s="11">
        <f t="shared" si="35"/>
        <v>2</v>
      </c>
      <c r="F54" s="40">
        <f>-18.0128593444824</f>
        <v>-18.012859344482401</v>
      </c>
      <c r="G54" s="47">
        <f>-30.168228149414</f>
        <v>-30.168228149413999</v>
      </c>
      <c r="H54" s="1"/>
      <c r="I54" s="5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/>
      <c r="W54" s="108"/>
      <c r="X54" s="44">
        <v>20.23</v>
      </c>
      <c r="Y54" s="20">
        <f t="shared" si="36"/>
        <v>-16.4916667938232</v>
      </c>
      <c r="Z54" s="18">
        <f t="shared" si="37"/>
        <v>6.5278576490706088</v>
      </c>
      <c r="AA54" s="11">
        <f t="shared" si="38"/>
        <v>2</v>
      </c>
      <c r="AB54" s="84">
        <f>-11.8757743835449</f>
        <v>-11.875774383544901</v>
      </c>
      <c r="AC54" s="47">
        <f>-21.1075592041015</f>
        <v>-21.107559204101499</v>
      </c>
      <c r="AD54" s="1"/>
      <c r="AE54" s="52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4"/>
      <c r="AS54" s="108"/>
      <c r="AT54" s="44">
        <v>20.23</v>
      </c>
      <c r="AU54" s="20">
        <f t="shared" si="39"/>
        <v>32.357706032815251</v>
      </c>
      <c r="AV54" s="18">
        <f t="shared" si="40"/>
        <v>0.52606243407587339</v>
      </c>
      <c r="AW54" s="11">
        <f t="shared" si="41"/>
        <v>2</v>
      </c>
      <c r="AX54" s="84">
        <v>32.729688347277801</v>
      </c>
      <c r="AY54" s="47">
        <v>31.985723718352698</v>
      </c>
      <c r="AZ54" s="1"/>
      <c r="BA54" s="52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</row>
    <row r="55" spans="1:65" x14ac:dyDescent="0.2">
      <c r="A55" s="108"/>
      <c r="B55" s="46">
        <v>30.47</v>
      </c>
      <c r="C55" s="8">
        <f t="shared" si="33"/>
        <v>-30.482559204101499</v>
      </c>
      <c r="D55" s="9" t="e">
        <f t="shared" si="34"/>
        <v>#DIV/0!</v>
      </c>
      <c r="E55" s="10">
        <f t="shared" si="35"/>
        <v>1</v>
      </c>
      <c r="F55" s="21"/>
      <c r="G55" s="22">
        <f>-30.4825592041015</f>
        <v>-30.482559204101499</v>
      </c>
      <c r="H55" s="1"/>
      <c r="I55" s="5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/>
      <c r="W55" s="108"/>
      <c r="X55" s="46">
        <v>30.47</v>
      </c>
      <c r="Y55" s="8">
        <f t="shared" si="36"/>
        <v>-19.819717407226499</v>
      </c>
      <c r="Z55" s="9" t="e">
        <f t="shared" si="37"/>
        <v>#DIV/0!</v>
      </c>
      <c r="AA55" s="10">
        <f t="shared" si="38"/>
        <v>1</v>
      </c>
      <c r="AB55" s="8"/>
      <c r="AC55" s="22">
        <f>-19.8197174072265</f>
        <v>-19.819717407226499</v>
      </c>
      <c r="AD55" s="1"/>
      <c r="AE55" s="52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4"/>
      <c r="AS55" s="108"/>
      <c r="AT55" s="46">
        <v>30.47</v>
      </c>
      <c r="AU55" s="8">
        <f t="shared" si="39"/>
        <v>31.8871751182945</v>
      </c>
      <c r="AV55" s="9" t="e">
        <f t="shared" si="40"/>
        <v>#DIV/0!</v>
      </c>
      <c r="AW55" s="10">
        <f t="shared" si="41"/>
        <v>1</v>
      </c>
      <c r="AX55" s="85"/>
      <c r="AY55" s="22">
        <v>31.8871751182945</v>
      </c>
      <c r="AZ55" s="1"/>
      <c r="BA55" s="52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4"/>
    </row>
    <row r="56" spans="1:65" x14ac:dyDescent="0.2">
      <c r="A56" s="108"/>
      <c r="B56" s="1"/>
      <c r="C56" s="1"/>
      <c r="D56" s="1"/>
      <c r="E56" s="1"/>
      <c r="F56" s="1"/>
      <c r="G56" s="1"/>
      <c r="H56" s="1"/>
      <c r="I56" s="1"/>
      <c r="J56" s="1"/>
      <c r="K56" s="52"/>
      <c r="L56" s="1"/>
      <c r="M56" s="1"/>
      <c r="N56" s="1"/>
      <c r="O56" s="1"/>
      <c r="P56" s="1"/>
      <c r="Q56" s="1"/>
      <c r="R56" s="1"/>
      <c r="S56" s="1"/>
      <c r="T56" s="1"/>
      <c r="U56" s="4"/>
      <c r="W56" s="108"/>
      <c r="X56" s="1"/>
      <c r="Y56" s="1"/>
      <c r="Z56" s="1"/>
      <c r="AA56" s="1"/>
      <c r="AB56" s="1"/>
      <c r="AC56" s="1"/>
      <c r="AD56" s="1"/>
      <c r="AE56" s="1"/>
      <c r="AF56" s="1"/>
      <c r="AG56" s="52"/>
      <c r="AH56" s="1"/>
      <c r="AI56" s="1"/>
      <c r="AJ56" s="1"/>
      <c r="AK56" s="1"/>
      <c r="AL56" s="1"/>
      <c r="AM56" s="1"/>
      <c r="AN56" s="1"/>
      <c r="AO56" s="1"/>
      <c r="AP56" s="1"/>
      <c r="AQ56" s="4"/>
      <c r="AS56" s="108"/>
      <c r="AT56" s="1"/>
      <c r="AU56" s="1"/>
      <c r="AV56" s="1"/>
      <c r="AW56" s="1"/>
      <c r="AX56" s="1"/>
      <c r="AY56" s="1"/>
      <c r="AZ56" s="1"/>
      <c r="BA56" s="1"/>
      <c r="BB56" s="1"/>
      <c r="BC56" s="52"/>
      <c r="BD56" s="1"/>
      <c r="BE56" s="1"/>
      <c r="BF56" s="1"/>
      <c r="BG56" s="1"/>
      <c r="BH56" s="1"/>
      <c r="BI56" s="1"/>
      <c r="BJ56" s="1"/>
      <c r="BK56" s="1"/>
      <c r="BL56" s="1"/>
      <c r="BM56" s="4"/>
    </row>
    <row r="57" spans="1:65" x14ac:dyDescent="0.2">
      <c r="A57" s="108"/>
      <c r="B57" s="135" t="s">
        <v>2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7"/>
      <c r="W57" s="108"/>
      <c r="X57" s="135" t="s">
        <v>2</v>
      </c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7"/>
      <c r="AS57" s="108"/>
      <c r="AT57" s="135" t="s">
        <v>2</v>
      </c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7"/>
    </row>
    <row r="58" spans="1:65" x14ac:dyDescent="0.2">
      <c r="A58" s="108"/>
      <c r="B58" s="130" t="s">
        <v>9</v>
      </c>
      <c r="C58" s="81" t="s">
        <v>3</v>
      </c>
      <c r="D58" s="82" t="s">
        <v>5</v>
      </c>
      <c r="E58" s="83" t="s">
        <v>4</v>
      </c>
      <c r="F58" s="114" t="s">
        <v>10</v>
      </c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6"/>
      <c r="W58" s="108"/>
      <c r="X58" s="130" t="s">
        <v>9</v>
      </c>
      <c r="Y58" s="81" t="s">
        <v>3</v>
      </c>
      <c r="Z58" s="82" t="s">
        <v>5</v>
      </c>
      <c r="AA58" s="83" t="s">
        <v>4</v>
      </c>
      <c r="AB58" s="114" t="s">
        <v>10</v>
      </c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6"/>
      <c r="AS58" s="108"/>
      <c r="AT58" s="130" t="s">
        <v>9</v>
      </c>
      <c r="AU58" s="81" t="s">
        <v>3</v>
      </c>
      <c r="AV58" s="82" t="s">
        <v>5</v>
      </c>
      <c r="AW58" s="83" t="s">
        <v>4</v>
      </c>
      <c r="AX58" s="114" t="s">
        <v>10</v>
      </c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6"/>
    </row>
    <row r="59" spans="1:65" x14ac:dyDescent="0.2">
      <c r="A59" s="108"/>
      <c r="B59" s="131"/>
      <c r="C59" s="159" t="s">
        <v>11</v>
      </c>
      <c r="D59" s="112"/>
      <c r="E59" s="113"/>
      <c r="F59" s="8">
        <v>116</v>
      </c>
      <c r="G59" s="9">
        <v>117</v>
      </c>
      <c r="H59" s="9">
        <v>119</v>
      </c>
      <c r="I59" s="9">
        <v>120</v>
      </c>
      <c r="J59" s="9">
        <v>121</v>
      </c>
      <c r="K59" s="9">
        <v>123</v>
      </c>
      <c r="L59" s="9">
        <v>125</v>
      </c>
      <c r="M59" s="9">
        <v>126</v>
      </c>
      <c r="N59" s="9">
        <v>128</v>
      </c>
      <c r="O59" s="9">
        <v>129</v>
      </c>
      <c r="P59" s="9">
        <v>131</v>
      </c>
      <c r="Q59" s="9">
        <v>132</v>
      </c>
      <c r="R59" s="9">
        <v>133</v>
      </c>
      <c r="S59" s="9">
        <v>135</v>
      </c>
      <c r="T59" s="9">
        <v>137</v>
      </c>
      <c r="U59" s="10">
        <v>138</v>
      </c>
      <c r="W59" s="108"/>
      <c r="X59" s="131"/>
      <c r="Y59" s="159" t="s">
        <v>11</v>
      </c>
      <c r="Z59" s="112"/>
      <c r="AA59" s="113"/>
      <c r="AB59" s="8">
        <v>116</v>
      </c>
      <c r="AC59" s="9">
        <v>117</v>
      </c>
      <c r="AD59" s="9">
        <v>119</v>
      </c>
      <c r="AE59" s="9">
        <v>120</v>
      </c>
      <c r="AF59" s="9">
        <v>121</v>
      </c>
      <c r="AG59" s="9">
        <v>123</v>
      </c>
      <c r="AH59" s="9">
        <v>125</v>
      </c>
      <c r="AI59" s="9">
        <v>126</v>
      </c>
      <c r="AJ59" s="9">
        <v>128</v>
      </c>
      <c r="AK59" s="9">
        <v>129</v>
      </c>
      <c r="AL59" s="9">
        <v>131</v>
      </c>
      <c r="AM59" s="9">
        <v>132</v>
      </c>
      <c r="AN59" s="9">
        <v>133</v>
      </c>
      <c r="AO59" s="9">
        <v>135</v>
      </c>
      <c r="AP59" s="9">
        <v>137</v>
      </c>
      <c r="AQ59" s="10">
        <v>138</v>
      </c>
      <c r="AS59" s="108"/>
      <c r="AT59" s="131"/>
      <c r="AU59" s="159" t="s">
        <v>11</v>
      </c>
      <c r="AV59" s="112"/>
      <c r="AW59" s="113"/>
      <c r="AX59" s="8">
        <v>116</v>
      </c>
      <c r="AY59" s="9">
        <v>117</v>
      </c>
      <c r="AZ59" s="9">
        <v>119</v>
      </c>
      <c r="BA59" s="9">
        <v>120</v>
      </c>
      <c r="BB59" s="9">
        <v>121</v>
      </c>
      <c r="BC59" s="9">
        <v>123</v>
      </c>
      <c r="BD59" s="9">
        <v>125</v>
      </c>
      <c r="BE59" s="9">
        <v>126</v>
      </c>
      <c r="BF59" s="9">
        <v>128</v>
      </c>
      <c r="BG59" s="9">
        <v>129</v>
      </c>
      <c r="BH59" s="9">
        <v>131</v>
      </c>
      <c r="BI59" s="9">
        <v>132</v>
      </c>
      <c r="BJ59" s="9">
        <v>133</v>
      </c>
      <c r="BK59" s="9">
        <v>135</v>
      </c>
      <c r="BL59" s="9">
        <v>137</v>
      </c>
      <c r="BM59" s="10">
        <v>138</v>
      </c>
    </row>
    <row r="60" spans="1:65" x14ac:dyDescent="0.2">
      <c r="A60" s="108"/>
      <c r="B60" s="44">
        <v>1.05</v>
      </c>
      <c r="C60" s="20" t="e">
        <f>AVERAGE(F60:U60)</f>
        <v>#DIV/0!</v>
      </c>
      <c r="D60" s="18" t="e">
        <f>STDEV(F60:U60)</f>
        <v>#DIV/0!</v>
      </c>
      <c r="E60" s="11">
        <f>COUNT(F60:U60)</f>
        <v>0</v>
      </c>
      <c r="F60" s="88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W60" s="108"/>
      <c r="X60" s="44">
        <v>1.05</v>
      </c>
      <c r="Y60" s="20" t="e">
        <f>AVERAGE(AB60:AQ60)</f>
        <v>#DIV/0!</v>
      </c>
      <c r="Z60" s="18" t="e">
        <f>STDEV(AB60:AQ60)</f>
        <v>#DIV/0!</v>
      </c>
      <c r="AA60" s="11">
        <f>COUNT(AB60:AQ60)</f>
        <v>0</v>
      </c>
      <c r="AB60" s="42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7"/>
      <c r="AS60" s="108"/>
      <c r="AT60" s="44">
        <v>1.05</v>
      </c>
      <c r="AU60" s="20" t="e">
        <f>AVERAGE(AX60:BM60)</f>
        <v>#DIV/0!</v>
      </c>
      <c r="AV60" s="18" t="e">
        <f>STDEV(AX60:BM60)</f>
        <v>#DIV/0!</v>
      </c>
      <c r="AW60" s="11">
        <f>COUNT(AX60:BM60)</f>
        <v>0</v>
      </c>
      <c r="AX60" s="88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50"/>
    </row>
    <row r="61" spans="1:65" x14ac:dyDescent="0.2">
      <c r="A61" s="108"/>
      <c r="B61" s="59">
        <v>2</v>
      </c>
      <c r="C61" s="20" t="e">
        <f t="shared" ref="C61:C67" si="42">AVERAGE(F61:U61)</f>
        <v>#DIV/0!</v>
      </c>
      <c r="D61" s="18" t="e">
        <f t="shared" ref="D61:D67" si="43">STDEV(F61:U61)</f>
        <v>#DIV/0!</v>
      </c>
      <c r="E61" s="11">
        <f t="shared" ref="E61:E67" si="44">COUNT(F61:U61)</f>
        <v>0</v>
      </c>
      <c r="F61" s="84"/>
      <c r="G61" s="40"/>
      <c r="H61" s="40"/>
      <c r="I61" s="40"/>
      <c r="J61" s="18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7"/>
      <c r="W61" s="108"/>
      <c r="X61" s="59">
        <v>2</v>
      </c>
      <c r="Y61" s="20" t="e">
        <f t="shared" ref="Y61:Y67" si="45">AVERAGE(AB61:AQ61)</f>
        <v>#DIV/0!</v>
      </c>
      <c r="Z61" s="18" t="e">
        <f t="shared" ref="Z61:Z67" si="46">STDEV(AB61:AQ61)</f>
        <v>#DIV/0!</v>
      </c>
      <c r="AA61" s="11">
        <f t="shared" ref="AA61:AA67" si="47">COUNT(AB61:AQ61)</f>
        <v>0</v>
      </c>
      <c r="AB61" s="20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1"/>
      <c r="AS61" s="108"/>
      <c r="AT61" s="59">
        <v>2</v>
      </c>
      <c r="AU61" s="20" t="e">
        <f t="shared" ref="AU61:AU67" si="48">AVERAGE(AX61:BM61)</f>
        <v>#DIV/0!</v>
      </c>
      <c r="AV61" s="18" t="e">
        <f t="shared" ref="AV61:AV67" si="49">STDEV(AX61:BM61)</f>
        <v>#DIV/0!</v>
      </c>
      <c r="AW61" s="11">
        <f t="shared" ref="AW61:AW67" si="50">COUNT(AX61:BM61)</f>
        <v>0</v>
      </c>
      <c r="AX61" s="84"/>
      <c r="AY61" s="40"/>
      <c r="AZ61" s="40"/>
      <c r="BA61" s="40"/>
      <c r="BB61" s="18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7"/>
    </row>
    <row r="62" spans="1:65" x14ac:dyDescent="0.2">
      <c r="A62" s="108"/>
      <c r="B62" s="44">
        <v>2.79</v>
      </c>
      <c r="C62" s="20" t="e">
        <f t="shared" si="42"/>
        <v>#DIV/0!</v>
      </c>
      <c r="D62" s="18" t="e">
        <f t="shared" si="43"/>
        <v>#DIV/0!</v>
      </c>
      <c r="E62" s="11">
        <f t="shared" si="44"/>
        <v>0</v>
      </c>
      <c r="F62" s="20"/>
      <c r="G62" s="18"/>
      <c r="H62" s="18"/>
      <c r="I62" s="18"/>
      <c r="J62" s="40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1"/>
      <c r="W62" s="108"/>
      <c r="X62" s="44">
        <v>2.79</v>
      </c>
      <c r="Y62" s="20" t="e">
        <f t="shared" si="45"/>
        <v>#DIV/0!</v>
      </c>
      <c r="Z62" s="18" t="e">
        <f t="shared" si="46"/>
        <v>#DIV/0!</v>
      </c>
      <c r="AA62" s="11">
        <f t="shared" si="47"/>
        <v>0</v>
      </c>
      <c r="AB62" s="20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1"/>
      <c r="AS62" s="108"/>
      <c r="AT62" s="44">
        <v>2.79</v>
      </c>
      <c r="AU62" s="20" t="e">
        <f t="shared" si="48"/>
        <v>#DIV/0!</v>
      </c>
      <c r="AV62" s="18" t="e">
        <f t="shared" si="49"/>
        <v>#DIV/0!</v>
      </c>
      <c r="AW62" s="11">
        <f t="shared" si="50"/>
        <v>0</v>
      </c>
      <c r="AX62" s="20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1"/>
    </row>
    <row r="63" spans="1:65" x14ac:dyDescent="0.2">
      <c r="A63" s="108"/>
      <c r="B63" s="44">
        <v>5.35</v>
      </c>
      <c r="C63" s="20">
        <f t="shared" si="42"/>
        <v>-8.6111942927042513</v>
      </c>
      <c r="D63" s="18">
        <f t="shared" si="43"/>
        <v>4.8991190146630084</v>
      </c>
      <c r="E63" s="11">
        <f t="shared" si="44"/>
        <v>12</v>
      </c>
      <c r="F63" s="89">
        <f>-14.2676315307617</f>
        <v>-14.267631530761699</v>
      </c>
      <c r="G63" s="90">
        <f>-2.90089797973632</f>
        <v>-2.9008979797363201</v>
      </c>
      <c r="H63" s="90"/>
      <c r="I63" s="90"/>
      <c r="J63" s="90"/>
      <c r="K63" s="90">
        <f>-8.99958038330078</f>
        <v>-8.9995803833007795</v>
      </c>
      <c r="L63" s="91">
        <f>-10.0387420654296</f>
        <v>-10.0387420654296</v>
      </c>
      <c r="M63" s="91">
        <f>-4.89932250976562</f>
        <v>-4.8993225097656197</v>
      </c>
      <c r="N63" s="90">
        <f>-16.7078857421875</f>
        <v>-16.7078857421875</v>
      </c>
      <c r="O63" s="90">
        <f>-7.10273742675781</f>
        <v>-7.1027374267578098</v>
      </c>
      <c r="P63" s="91"/>
      <c r="Q63" s="90">
        <f>-15.0903854370117</f>
        <v>-15.090385437011699</v>
      </c>
      <c r="R63" s="90">
        <f>-8.65066528320312</f>
        <v>-8.6506652832031197</v>
      </c>
      <c r="S63" s="90">
        <f>-9.52040863037109</f>
        <v>-9.5204086303710902</v>
      </c>
      <c r="T63" s="90">
        <f>-2.63957977294921</f>
        <v>-2.6395797729492099</v>
      </c>
      <c r="U63" s="92">
        <f>-2.51649475097656</f>
        <v>-2.5164947509765598</v>
      </c>
      <c r="W63" s="108"/>
      <c r="X63" s="44">
        <v>5.35</v>
      </c>
      <c r="Y63" s="20">
        <f t="shared" si="45"/>
        <v>-8.3660363795369417</v>
      </c>
      <c r="Z63" s="18">
        <f t="shared" si="46"/>
        <v>4.8341809189215086</v>
      </c>
      <c r="AA63" s="11">
        <f t="shared" si="47"/>
        <v>12</v>
      </c>
      <c r="AB63" s="84">
        <f>-13.9746627807617</f>
        <v>-13.974662780761699</v>
      </c>
      <c r="AC63" s="40">
        <f>-2.63844680786132</f>
        <v>-2.6384468078613201</v>
      </c>
      <c r="AD63" s="18"/>
      <c r="AE63" s="18"/>
      <c r="AF63" s="18"/>
      <c r="AG63" s="40">
        <f>-8.87140655517578</f>
        <v>-8.8714065551757795</v>
      </c>
      <c r="AH63" s="18">
        <f>-9.580978</f>
        <v>-9.580978</v>
      </c>
      <c r="AI63" s="18">
        <f>-4.8108215</f>
        <v>-4.8108215000000003</v>
      </c>
      <c r="AJ63" s="40">
        <f>-16.3416748046875</f>
        <v>-16.3416748046875</v>
      </c>
      <c r="AK63" s="40">
        <f>-7.01423645019531</f>
        <v>-7.0142364501953098</v>
      </c>
      <c r="AL63" s="18"/>
      <c r="AM63" s="40">
        <f>-14.7546920776367</f>
        <v>-14.754692077636699</v>
      </c>
      <c r="AN63" s="40">
        <f>-8.37295532226562</f>
        <v>-8.3729553222656197</v>
      </c>
      <c r="AO63" s="40">
        <f>-9.24880218505859</f>
        <v>-9.2488021850585902</v>
      </c>
      <c r="AP63" s="40">
        <f>-2.48088836669921</f>
        <v>-2.4808883666992099</v>
      </c>
      <c r="AQ63" s="47">
        <f>-2.30287170410156</f>
        <v>-2.3028717041015598</v>
      </c>
      <c r="AS63" s="108"/>
      <c r="AT63" s="44">
        <v>5.35</v>
      </c>
      <c r="AU63" s="20">
        <f t="shared" si="48"/>
        <v>26.847370964598387</v>
      </c>
      <c r="AV63" s="18">
        <f t="shared" si="49"/>
        <v>12.602202210994024</v>
      </c>
      <c r="AW63" s="11">
        <f t="shared" si="50"/>
        <v>12</v>
      </c>
      <c r="AX63" s="84">
        <v>25.2820338585448</v>
      </c>
      <c r="AY63" s="40">
        <v>17.8046527893957</v>
      </c>
      <c r="AZ63" s="40"/>
      <c r="BA63" s="40"/>
      <c r="BB63" s="40"/>
      <c r="BC63" s="40">
        <v>27.394355046091899</v>
      </c>
      <c r="BD63" s="18">
        <v>17.878359322399898</v>
      </c>
      <c r="BE63" s="18">
        <v>27.023129665644401</v>
      </c>
      <c r="BF63" s="40">
        <v>19.080307687967601</v>
      </c>
      <c r="BG63" s="40">
        <v>10.192792154328799</v>
      </c>
      <c r="BH63" s="40"/>
      <c r="BI63" s="40">
        <v>26.228732094017602</v>
      </c>
      <c r="BJ63" s="40">
        <v>35.7011210313186</v>
      </c>
      <c r="BK63" s="40">
        <v>29.373876437170001</v>
      </c>
      <c r="BL63" s="40">
        <v>60.860216054265997</v>
      </c>
      <c r="BM63" s="47">
        <v>25.348875434035399</v>
      </c>
    </row>
    <row r="64" spans="1:65" x14ac:dyDescent="0.2">
      <c r="A64" s="108"/>
      <c r="B64" s="44">
        <v>10</v>
      </c>
      <c r="C64" s="20">
        <f t="shared" si="42"/>
        <v>-10.322855885823545</v>
      </c>
      <c r="D64" s="18">
        <f t="shared" si="43"/>
        <v>5.7627250078913468</v>
      </c>
      <c r="E64" s="11">
        <f t="shared" si="44"/>
        <v>15</v>
      </c>
      <c r="F64" s="89">
        <f>-17.8626022338867</f>
        <v>-17.862602233886701</v>
      </c>
      <c r="G64" s="90">
        <f>-4.58852005004882</f>
        <v>-4.5885200500488201</v>
      </c>
      <c r="H64" s="90">
        <f>-9.62221527099609</f>
        <v>-9.6222152709960902</v>
      </c>
      <c r="I64" s="90">
        <f>-4.23257446289062</f>
        <v>-4.2325744628906197</v>
      </c>
      <c r="J64" s="90">
        <f>-7.78005981445312</f>
        <v>-7.7800598144531197</v>
      </c>
      <c r="K64" s="90">
        <f>-11.2822952270507</f>
        <v>-11.2822952270507</v>
      </c>
      <c r="L64" s="91">
        <f>-12.8555145263671</f>
        <v>-12.8555145263671</v>
      </c>
      <c r="M64" s="91">
        <f>-6.91043090820312</f>
        <v>-6.9104309082031197</v>
      </c>
      <c r="N64" s="90">
        <f>-20.9345703125</f>
        <v>-20.9345703125</v>
      </c>
      <c r="O64" s="90">
        <f>-8.66523742675781</f>
        <v>-8.6652374267578107</v>
      </c>
      <c r="P64" s="91"/>
      <c r="Q64" s="90">
        <f>-20.1135787963867</f>
        <v>-20.113578796386701</v>
      </c>
      <c r="R64" s="90">
        <f>-10.1124572753906</f>
        <v>-10.1124572753906</v>
      </c>
      <c r="S64" s="90">
        <f>-12.9475326538085</f>
        <v>-12.9475326538085</v>
      </c>
      <c r="T64" s="90">
        <f>-3.34148406982421</f>
        <v>-3.3414840698242099</v>
      </c>
      <c r="U64" s="92">
        <f>-3.59376525878906</f>
        <v>-3.5937652587890598</v>
      </c>
      <c r="W64" s="108"/>
      <c r="X64" s="44">
        <v>10</v>
      </c>
      <c r="Y64" s="20">
        <f t="shared" si="45"/>
        <v>-9.8345263318633886</v>
      </c>
      <c r="Z64" s="18">
        <f t="shared" si="46"/>
        <v>5.3482389053529813</v>
      </c>
      <c r="AA64" s="11">
        <f t="shared" si="47"/>
        <v>16</v>
      </c>
      <c r="AB64" s="84">
        <f>-17.6184616088867</f>
        <v>-17.618461608886701</v>
      </c>
      <c r="AC64" s="40">
        <f>-4.43898391723632</f>
        <v>-4.4389839172363201</v>
      </c>
      <c r="AD64" s="40">
        <f>-9.26821136474609</f>
        <v>-9.2682113647460902</v>
      </c>
      <c r="AE64" s="40">
        <f>-4.06777954101562</f>
        <v>-4.0677795410156197</v>
      </c>
      <c r="AF64" s="40">
        <f>-7.64883422851562</f>
        <v>-7.6488342285156197</v>
      </c>
      <c r="AG64" s="40">
        <f>-10.9801712036132</f>
        <v>-10.9801712036132</v>
      </c>
      <c r="AH64" s="18">
        <f>-11.933884</f>
        <v>-11.933884000000001</v>
      </c>
      <c r="AI64" s="18">
        <f>-6.684601</f>
        <v>-6.6846009999999998</v>
      </c>
      <c r="AJ64" s="40">
        <f>-19.9976806640625</f>
        <v>-19.9976806640625</v>
      </c>
      <c r="AK64" s="40">
        <f>-8.47297668457031</f>
        <v>-8.4729766845703107</v>
      </c>
      <c r="AL64" s="40">
        <f>-9.03118896484375</f>
        <v>-9.03118896484375</v>
      </c>
      <c r="AM64" s="40">
        <f>-19.1858444213867</f>
        <v>-19.185844421386701</v>
      </c>
      <c r="AN64" s="40">
        <f>-9.44717407226562</f>
        <v>-9.4471740722656197</v>
      </c>
      <c r="AO64" s="40">
        <f>-12.0869369506835</f>
        <v>-12.0869369506835</v>
      </c>
      <c r="AP64" s="40">
        <f>-3.08513641357421</f>
        <v>-3.0851364135742099</v>
      </c>
      <c r="AQ64" s="47">
        <f>-3.40455627441406</f>
        <v>-3.4045562744140598</v>
      </c>
      <c r="AS64" s="108"/>
      <c r="AT64" s="44">
        <v>10</v>
      </c>
      <c r="AU64" s="20">
        <f t="shared" si="48"/>
        <v>25.473641809996085</v>
      </c>
      <c r="AV64" s="18">
        <f t="shared" si="49"/>
        <v>8.6192237618313481</v>
      </c>
      <c r="AW64" s="11">
        <f t="shared" si="50"/>
        <v>16</v>
      </c>
      <c r="AX64" s="84">
        <v>31.5594040638873</v>
      </c>
      <c r="AY64" s="40">
        <v>40.765280301270998</v>
      </c>
      <c r="AZ64" s="40">
        <v>21.867547349731499</v>
      </c>
      <c r="BA64" s="40">
        <v>12.4918250867122</v>
      </c>
      <c r="BB64" s="40">
        <v>17.783648689459898</v>
      </c>
      <c r="BC64" s="40">
        <v>27.209867708690201</v>
      </c>
      <c r="BD64" s="18">
        <v>18.6186214525626</v>
      </c>
      <c r="BE64" s="18">
        <v>29.5017211699261</v>
      </c>
      <c r="BF64" s="40">
        <v>19.758284183612499</v>
      </c>
      <c r="BG64" s="40">
        <v>9.5369840154744203</v>
      </c>
      <c r="BH64" s="40">
        <v>21.535614818141202</v>
      </c>
      <c r="BI64" s="40">
        <v>26.2846589131759</v>
      </c>
      <c r="BJ64" s="40">
        <v>34.815279720482401</v>
      </c>
      <c r="BK64" s="40">
        <v>32.866949033046602</v>
      </c>
      <c r="BL64" s="40">
        <v>34.608685961137702</v>
      </c>
      <c r="BM64" s="47">
        <v>28.373896492625899</v>
      </c>
    </row>
    <row r="65" spans="1:65" x14ac:dyDescent="0.2">
      <c r="A65" s="108"/>
      <c r="B65" s="45">
        <v>15</v>
      </c>
      <c r="C65" s="20">
        <f t="shared" si="42"/>
        <v>-10.819290399551365</v>
      </c>
      <c r="D65" s="18">
        <f t="shared" si="43"/>
        <v>5.6087958736123937</v>
      </c>
      <c r="E65" s="11">
        <f t="shared" si="44"/>
        <v>16</v>
      </c>
      <c r="F65" s="89">
        <f>-19.3793258666992</f>
        <v>-19.379325866699201</v>
      </c>
      <c r="G65" s="90">
        <f>-5.33925247192382</f>
        <v>-5.3392524719238201</v>
      </c>
      <c r="H65" s="90">
        <f>-11.746238708496</f>
        <v>-11.746238708496</v>
      </c>
      <c r="I65" s="90">
        <f>-5.40750122070312</f>
        <v>-5.4075012207031197</v>
      </c>
      <c r="J65" s="90">
        <f>-9.76370239257812</f>
        <v>-9.7637023925781197</v>
      </c>
      <c r="K65" s="90">
        <f>-12.1673049926757</f>
        <v>-12.1673049926757</v>
      </c>
      <c r="L65" s="91">
        <f>-12.7975311279296</f>
        <v>-12.7975311279296</v>
      </c>
      <c r="M65" s="91">
        <f>-6.99588012695312</f>
        <v>-6.9958801269531197</v>
      </c>
      <c r="N65" s="90">
        <f>-21.1939697265625</f>
        <v>-21.1939697265625</v>
      </c>
      <c r="O65" s="90">
        <f>-8.53706359863281</f>
        <v>-8.5370635986328107</v>
      </c>
      <c r="P65" s="90">
        <f>-9.13494873046875</f>
        <v>-9.13494873046875</v>
      </c>
      <c r="Q65" s="90">
        <f>-20.4157028198242</f>
        <v>-20.415702819824201</v>
      </c>
      <c r="R65" s="90">
        <f>-10.1948547363281</f>
        <v>-10.1948547363281</v>
      </c>
      <c r="S65" s="90">
        <f>-12.859031677246</f>
        <v>-12.859031677246</v>
      </c>
      <c r="T65" s="90">
        <f>-3.40862274169921</f>
        <v>-3.4086227416992099</v>
      </c>
      <c r="U65" s="92">
        <f>-3.76771545410156</f>
        <v>-3.7677154541015598</v>
      </c>
      <c r="W65" s="108"/>
      <c r="X65" s="45">
        <v>15</v>
      </c>
      <c r="Y65" s="20">
        <f t="shared" si="45"/>
        <v>-10.513733153152442</v>
      </c>
      <c r="Z65" s="18">
        <f t="shared" si="46"/>
        <v>5.3598554571025554</v>
      </c>
      <c r="AA65" s="11">
        <f t="shared" si="47"/>
        <v>16</v>
      </c>
      <c r="AB65" s="84">
        <f>-18.9063034057617</f>
        <v>-18.906303405761701</v>
      </c>
      <c r="AC65" s="40">
        <f>-5.08900833129882</f>
        <v>-5.0890083312988201</v>
      </c>
      <c r="AD65" s="40">
        <f>-11.355613708496</f>
        <v>-11.355613708496</v>
      </c>
      <c r="AE65" s="40">
        <f>-5.19082641601562</f>
        <v>-5.1908264160156197</v>
      </c>
      <c r="AF65" s="40">
        <f>-9.33645629882812</f>
        <v>-9.3364562988281197</v>
      </c>
      <c r="AG65" s="40">
        <f>-11.8407669067382</f>
        <v>-11.8407669067382</v>
      </c>
      <c r="AH65" s="18">
        <f>-11.891159</f>
        <v>-11.891159</v>
      </c>
      <c r="AI65" s="18">
        <f>-6.797516</f>
        <v>-6.7975159999999999</v>
      </c>
      <c r="AJ65" s="40">
        <f>-20.2052001953125</f>
        <v>-20.2052001953125</v>
      </c>
      <c r="AK65" s="40">
        <f>-8.36616516113281</f>
        <v>-8.3661651611328107</v>
      </c>
      <c r="AL65" s="40">
        <f>-11.2589721679687</f>
        <v>-11.2589721679687</v>
      </c>
      <c r="AM65" s="40">
        <f>-19.4177780151367</f>
        <v>-19.417778015136701</v>
      </c>
      <c r="AN65" s="40">
        <f>-9.51736450195312</f>
        <v>-9.5173645019531197</v>
      </c>
      <c r="AO65" s="40">
        <f>-12.218162536621</f>
        <v>-12.218162536621</v>
      </c>
      <c r="AP65" s="40">
        <f>-3.21025848388671</f>
        <v>-3.2102584838867099</v>
      </c>
      <c r="AQ65" s="47">
        <f>-3.61817932128906</f>
        <v>-3.6181793212890598</v>
      </c>
      <c r="AS65" s="108"/>
      <c r="AT65" s="45">
        <v>15</v>
      </c>
      <c r="AU65" s="20">
        <f t="shared" si="48"/>
        <v>25.134405438199664</v>
      </c>
      <c r="AV65" s="18">
        <f t="shared" si="49"/>
        <v>7.1772117282458021</v>
      </c>
      <c r="AW65" s="11">
        <f t="shared" si="50"/>
        <v>16</v>
      </c>
      <c r="AX65" s="84">
        <v>27.109135762637699</v>
      </c>
      <c r="AY65" s="40">
        <v>32.754262836473799</v>
      </c>
      <c r="AZ65" s="40">
        <v>24.800014736906501</v>
      </c>
      <c r="BA65" s="40">
        <v>13.1112243225783</v>
      </c>
      <c r="BB65" s="40">
        <v>17.659406515884601</v>
      </c>
      <c r="BC65" s="40">
        <v>32.780364587070103</v>
      </c>
      <c r="BD65" s="18">
        <v>18.7044547466224</v>
      </c>
      <c r="BE65" s="18">
        <v>30.371099900609099</v>
      </c>
      <c r="BF65" s="40">
        <v>20.240375349897501</v>
      </c>
      <c r="BG65" s="40">
        <v>11.296502806582099</v>
      </c>
      <c r="BH65" s="40">
        <v>25.083427846656701</v>
      </c>
      <c r="BI65" s="40">
        <v>26.215374405022398</v>
      </c>
      <c r="BJ65" s="40">
        <v>32.529978430522704</v>
      </c>
      <c r="BK65" s="40">
        <v>34.931057867398899</v>
      </c>
      <c r="BL65" s="40">
        <v>29.077583474606001</v>
      </c>
      <c r="BM65" s="47">
        <v>25.4862234217258</v>
      </c>
    </row>
    <row r="66" spans="1:65" x14ac:dyDescent="0.2">
      <c r="A66" s="108"/>
      <c r="B66" s="44">
        <v>20.23</v>
      </c>
      <c r="C66" s="20">
        <f t="shared" si="42"/>
        <v>-12.092438062032031</v>
      </c>
      <c r="D66" s="18">
        <f t="shared" si="43"/>
        <v>5.235046458230209</v>
      </c>
      <c r="E66" s="11">
        <f t="shared" si="44"/>
        <v>12</v>
      </c>
      <c r="F66" s="89">
        <f>-19.8004684448242</f>
        <v>-19.800468444824201</v>
      </c>
      <c r="G66" s="90">
        <f>-5.74818801879882</f>
        <v>-5.7481880187988201</v>
      </c>
      <c r="H66" s="90">
        <f>-12.606834411621</f>
        <v>-12.606834411621</v>
      </c>
      <c r="I66" s="90">
        <f>-5.79202270507812</f>
        <v>-5.7920227050781197</v>
      </c>
      <c r="J66" s="90">
        <f>-10.4289855957031</f>
        <v>-10.4289855957031</v>
      </c>
      <c r="K66" s="90">
        <f>-11.3921585083007</f>
        <v>-11.3921585083007</v>
      </c>
      <c r="L66" s="91">
        <f>-12.9501190185546</f>
        <v>-12.9501190185546</v>
      </c>
      <c r="M66" s="91">
        <f>-7.21255493164062</f>
        <v>-7.2125549316406197</v>
      </c>
      <c r="N66" s="90">
        <f>-19.70166015625</f>
        <v>-19.70166015625</v>
      </c>
      <c r="O66" s="90">
        <f>-8.04573059082031</f>
        <v>-8.0457305908203107</v>
      </c>
      <c r="P66" s="90">
        <f>-11.6221313476562</f>
        <v>-11.6221313476562</v>
      </c>
      <c r="Q66" s="90">
        <f>-19.8084030151367</f>
        <v>-19.808403015136701</v>
      </c>
      <c r="R66" s="91"/>
      <c r="S66" s="90"/>
      <c r="T66" s="91"/>
      <c r="U66" s="93"/>
      <c r="W66" s="108"/>
      <c r="X66" s="44">
        <v>20.23</v>
      </c>
      <c r="Y66" s="20">
        <f t="shared" si="45"/>
        <v>-11.552022614099094</v>
      </c>
      <c r="Z66" s="18">
        <f t="shared" si="46"/>
        <v>5.0264987851911327</v>
      </c>
      <c r="AA66" s="11">
        <f t="shared" si="47"/>
        <v>12</v>
      </c>
      <c r="AB66" s="84">
        <f>-19.3518600463867</f>
        <v>-19.351860046386701</v>
      </c>
      <c r="AC66" s="40">
        <f>-5.45521926879882</f>
        <v>-5.4552192687988201</v>
      </c>
      <c r="AD66" s="40">
        <f>-11.929344177246</f>
        <v>-11.929344177246</v>
      </c>
      <c r="AE66" s="40">
        <f>-5.49295043945312</f>
        <v>-5.4929504394531197</v>
      </c>
      <c r="AF66" s="40">
        <f>-10.0292053222656</f>
        <v>-10.0292053222656</v>
      </c>
      <c r="AG66" s="40">
        <f>-10.9252395629882</f>
        <v>-10.9252395629882</v>
      </c>
      <c r="AH66" s="18">
        <f>-11.891159</f>
        <v>-11.891159</v>
      </c>
      <c r="AI66" s="18">
        <f>-6.9134827</f>
        <v>-6.9134827000000003</v>
      </c>
      <c r="AJ66" s="40">
        <f>-18.706787109375</f>
        <v>-18.706787109375</v>
      </c>
      <c r="AK66" s="40">
        <f>-7.81074523925781</f>
        <v>-7.8107452392578098</v>
      </c>
      <c r="AL66" s="40">
        <f>-11.2559204101562</f>
        <v>-11.2559204101562</v>
      </c>
      <c r="AM66" s="40">
        <f>-18.8623580932617</f>
        <v>-18.862358093261701</v>
      </c>
      <c r="AN66" s="40"/>
      <c r="AO66" s="40"/>
      <c r="AP66" s="18"/>
      <c r="AQ66" s="11"/>
      <c r="AS66" s="108"/>
      <c r="AT66" s="44">
        <v>20.23</v>
      </c>
      <c r="AU66" s="20">
        <f t="shared" si="48"/>
        <v>22.97323237397336</v>
      </c>
      <c r="AV66" s="18">
        <f t="shared" si="49"/>
        <v>5.6681748909275935</v>
      </c>
      <c r="AW66" s="11">
        <f t="shared" si="50"/>
        <v>12</v>
      </c>
      <c r="AX66" s="84">
        <v>27.243419390551299</v>
      </c>
      <c r="AY66" s="40">
        <v>25.327566050061499</v>
      </c>
      <c r="AZ66" s="40">
        <v>26.393045941724999</v>
      </c>
      <c r="BA66" s="40">
        <v>15.1480568714003</v>
      </c>
      <c r="BB66" s="40">
        <v>20.2534750624189</v>
      </c>
      <c r="BC66" s="40">
        <v>27.400367427392101</v>
      </c>
      <c r="BD66" s="18">
        <v>18.817589427408301</v>
      </c>
      <c r="BE66" s="18">
        <v>30.597528323567499</v>
      </c>
      <c r="BF66" s="40">
        <v>20.1108425664025</v>
      </c>
      <c r="BG66" s="40">
        <v>11.8284109961307</v>
      </c>
      <c r="BH66" s="40">
        <v>26.123044824608801</v>
      </c>
      <c r="BI66" s="40">
        <v>26.435441606013399</v>
      </c>
      <c r="BJ66" s="40"/>
      <c r="BK66" s="40"/>
      <c r="BL66" s="40"/>
      <c r="BM66" s="47"/>
    </row>
    <row r="67" spans="1:65" x14ac:dyDescent="0.2">
      <c r="A67" s="109"/>
      <c r="B67" s="46">
        <v>30.47</v>
      </c>
      <c r="C67" s="8">
        <f t="shared" si="42"/>
        <v>-9.8645381927489844</v>
      </c>
      <c r="D67" s="9">
        <f t="shared" si="43"/>
        <v>3.0067416907058289</v>
      </c>
      <c r="E67" s="10">
        <f t="shared" si="44"/>
        <v>4</v>
      </c>
      <c r="F67" s="94"/>
      <c r="G67" s="95"/>
      <c r="H67" s="95">
        <f>-12.4084701538085</f>
        <v>-12.4084701538085</v>
      </c>
      <c r="I67" s="95">
        <f>-5.66995239257812</f>
        <v>-5.6699523925781197</v>
      </c>
      <c r="J67" s="95">
        <f>-9.76980590820312</f>
        <v>-9.7698059082031197</v>
      </c>
      <c r="K67" s="96"/>
      <c r="L67" s="95"/>
      <c r="M67" s="95"/>
      <c r="N67" s="95"/>
      <c r="O67" s="95"/>
      <c r="P67" s="95">
        <f>-11.6099243164062</f>
        <v>-11.6099243164062</v>
      </c>
      <c r="Q67" s="95"/>
      <c r="R67" s="95"/>
      <c r="S67" s="95"/>
      <c r="T67" s="96"/>
      <c r="U67" s="97"/>
      <c r="W67" s="109"/>
      <c r="X67" s="46">
        <v>30.47</v>
      </c>
      <c r="Y67" s="8">
        <f t="shared" si="45"/>
        <v>-8.7761510213215796</v>
      </c>
      <c r="Z67" s="9">
        <f t="shared" si="46"/>
        <v>3.1774387853754171</v>
      </c>
      <c r="AA67" s="10">
        <f t="shared" si="47"/>
        <v>3</v>
      </c>
      <c r="AB67" s="8"/>
      <c r="AC67" s="9"/>
      <c r="AD67" s="21">
        <f>-11.691307067871</f>
        <v>-11.691307067871</v>
      </c>
      <c r="AE67" s="21">
        <f>-5.38919067382812</f>
        <v>-5.3891906738281197</v>
      </c>
      <c r="AF67" s="21">
        <f>-9.24795532226562</f>
        <v>-9.2479553222656197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10"/>
      <c r="AS67" s="109"/>
      <c r="AT67" s="46">
        <v>30.47</v>
      </c>
      <c r="AU67" s="8">
        <f t="shared" si="48"/>
        <v>19.762791016142668</v>
      </c>
      <c r="AV67" s="9">
        <f t="shared" si="49"/>
        <v>5.8037485768140025</v>
      </c>
      <c r="AW67" s="10">
        <f t="shared" si="50"/>
        <v>3</v>
      </c>
      <c r="AX67" s="85"/>
      <c r="AY67" s="21"/>
      <c r="AZ67" s="21">
        <v>26.388666095694798</v>
      </c>
      <c r="BA67" s="21">
        <v>17.319814461410299</v>
      </c>
      <c r="BB67" s="21">
        <v>15.5798924913229</v>
      </c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2"/>
    </row>
    <row r="68" spans="1:65" x14ac:dyDescent="0.2">
      <c r="AB68" s="28"/>
      <c r="AC68" s="28"/>
      <c r="AD68" s="28"/>
      <c r="AE68" s="28"/>
      <c r="AF68" s="28"/>
      <c r="AG68" s="105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X68" s="28"/>
      <c r="AY68" s="28"/>
      <c r="AZ68" s="28"/>
      <c r="BA68" s="28"/>
      <c r="BB68" s="28"/>
      <c r="BC68" s="105"/>
      <c r="BD68" s="28"/>
      <c r="BE68" s="28"/>
      <c r="BF68" s="28"/>
      <c r="BG68" s="28"/>
      <c r="BH68" s="28"/>
      <c r="BI68" s="28"/>
      <c r="BJ68" s="28"/>
      <c r="BK68" s="28"/>
      <c r="BL68" s="28"/>
      <c r="BM68" s="28"/>
    </row>
  </sheetData>
  <mergeCells count="76">
    <mergeCell ref="B9:P9"/>
    <mergeCell ref="O10:P10"/>
    <mergeCell ref="B3:L3"/>
    <mergeCell ref="B4:B5"/>
    <mergeCell ref="C4:C5"/>
    <mergeCell ref="D4:D5"/>
    <mergeCell ref="E4:E5"/>
    <mergeCell ref="F4:L4"/>
    <mergeCell ref="C47:E47"/>
    <mergeCell ref="C11:E11"/>
    <mergeCell ref="B22:B23"/>
    <mergeCell ref="B21:S21"/>
    <mergeCell ref="L11:N11"/>
    <mergeCell ref="F22:L22"/>
    <mergeCell ref="C23:E23"/>
    <mergeCell ref="M23:O23"/>
    <mergeCell ref="P22:S22"/>
    <mergeCell ref="B10:B11"/>
    <mergeCell ref="A1:A67"/>
    <mergeCell ref="B1:U1"/>
    <mergeCell ref="W1:W67"/>
    <mergeCell ref="X1:AQ1"/>
    <mergeCell ref="B58:B59"/>
    <mergeCell ref="C59:E59"/>
    <mergeCell ref="F10:K10"/>
    <mergeCell ref="F46:G46"/>
    <mergeCell ref="B45:G45"/>
    <mergeCell ref="B57:U57"/>
    <mergeCell ref="F58:U58"/>
    <mergeCell ref="B33:M33"/>
    <mergeCell ref="B34:B35"/>
    <mergeCell ref="F34:M34"/>
    <mergeCell ref="C35:E35"/>
    <mergeCell ref="B46:B47"/>
    <mergeCell ref="AT1:BM1"/>
    <mergeCell ref="AT9:BC9"/>
    <mergeCell ref="AT10:AT11"/>
    <mergeCell ref="AX10:BC10"/>
    <mergeCell ref="AU11:AW11"/>
    <mergeCell ref="X57:AQ57"/>
    <mergeCell ref="X58:X59"/>
    <mergeCell ref="AB58:AQ58"/>
    <mergeCell ref="Y59:AA59"/>
    <mergeCell ref="AS1:AS67"/>
    <mergeCell ref="X33:AI33"/>
    <mergeCell ref="X34:X35"/>
    <mergeCell ref="AB34:AI34"/>
    <mergeCell ref="Y35:AA35"/>
    <mergeCell ref="X45:AC45"/>
    <mergeCell ref="X46:X47"/>
    <mergeCell ref="AB46:AC46"/>
    <mergeCell ref="Y47:AA47"/>
    <mergeCell ref="X9:AG9"/>
    <mergeCell ref="X10:X11"/>
    <mergeCell ref="AB10:AG10"/>
    <mergeCell ref="AT46:AT47"/>
    <mergeCell ref="AX46:AY46"/>
    <mergeCell ref="AU47:AW47"/>
    <mergeCell ref="AT57:BM57"/>
    <mergeCell ref="AT58:AT59"/>
    <mergeCell ref="AX58:BM58"/>
    <mergeCell ref="AU59:AW59"/>
    <mergeCell ref="Y11:AA11"/>
    <mergeCell ref="X21:AH21"/>
    <mergeCell ref="X22:X23"/>
    <mergeCell ref="AT45:AY45"/>
    <mergeCell ref="AT21:BD21"/>
    <mergeCell ref="AT22:AT23"/>
    <mergeCell ref="AX22:BD22"/>
    <mergeCell ref="AU23:AW23"/>
    <mergeCell ref="AT33:BE33"/>
    <mergeCell ref="AT34:AT35"/>
    <mergeCell ref="AX34:BE34"/>
    <mergeCell ref="AU35:AW35"/>
    <mergeCell ref="AB22:AH22"/>
    <mergeCell ref="Y23:AA23"/>
  </mergeCells>
  <conditionalFormatting sqref="J24:L25 J27:L28 J30:L31 F24:I31">
    <cfRule type="cellIs" dxfId="3" priority="10" operator="greaterThan">
      <formula>50</formula>
    </cfRule>
  </conditionalFormatting>
  <conditionalFormatting sqref="M36:M37 M39:M40 M42:M43 F36:L43">
    <cfRule type="cellIs" dxfId="2" priority="9" operator="greaterThan">
      <formula>50</formula>
    </cfRule>
  </conditionalFormatting>
  <conditionalFormatting sqref="AB24:AE31">
    <cfRule type="cellIs" dxfId="1" priority="6" operator="greaterThan">
      <formula>50</formula>
    </cfRule>
  </conditionalFormatting>
  <conditionalFormatting sqref="AB36:AI43">
    <cfRule type="cellIs" dxfId="0" priority="5" operator="greater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9 B-H</vt:lpstr>
      <vt:lpstr>Fig 9 Supplement A-C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 Dumitrescu</dc:creator>
  <cp:lastModifiedBy>Adna Dumitrescu</cp:lastModifiedBy>
  <dcterms:created xsi:type="dcterms:W3CDTF">2019-12-06T15:23:32Z</dcterms:created>
  <dcterms:modified xsi:type="dcterms:W3CDTF">2019-12-11T16:39:31Z</dcterms:modified>
</cp:coreProperties>
</file>