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300" yWindow="700" windowWidth="25360" windowHeight="14220" tabRatio="784" firstSheet="2" activeTab="15"/>
  </bookViews>
  <sheets>
    <sheet name="bxd" sheetId="8" r:id="rId1"/>
    <sheet name="bab2" sheetId="9" r:id="rId2"/>
    <sheet name="stg" sheetId="15" r:id="rId3"/>
    <sheet name="E2f" sheetId="14" r:id="rId4"/>
    <sheet name="Rbp6" sheetId="13" r:id="rId5"/>
    <sheet name="Ets98B" sheetId="12" r:id="rId6"/>
    <sheet name="blimp1" sheetId="11" r:id="rId7"/>
    <sheet name="blimp1_en" sheetId="10" r:id="rId8"/>
    <sheet name="antp" sheetId="1" r:id="rId9"/>
    <sheet name="OR67D" sheetId="5" r:id="rId10"/>
    <sheet name="rn" sheetId="7" r:id="rId11"/>
    <sheet name="Dak1" sheetId="4" r:id="rId12"/>
    <sheet name="Tsp68C" sheetId="17" r:id="rId13"/>
    <sheet name="Pb_133" sheetId="18" r:id="rId14"/>
    <sheet name="klu" sheetId="19" r:id="rId15"/>
    <sheet name="Fig1GHand6Asummary.txt" sheetId="3" r:id="rId16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B59" i="4" l="1"/>
  <c r="BC59" i="4"/>
  <c r="BD59" i="4"/>
  <c r="BE59" i="4"/>
  <c r="BF59" i="4"/>
  <c r="BG59" i="4"/>
  <c r="BH59" i="4"/>
  <c r="BI59" i="4"/>
  <c r="BJ59" i="4"/>
  <c r="BK59" i="4"/>
  <c r="BL59" i="4"/>
  <c r="BM59" i="4"/>
  <c r="BB60" i="4"/>
  <c r="BC60" i="4"/>
  <c r="BD60" i="4"/>
  <c r="BE60" i="4"/>
  <c r="BF60" i="4"/>
  <c r="BG60" i="4"/>
  <c r="BH60" i="4"/>
  <c r="BI60" i="4"/>
  <c r="BJ60" i="4"/>
  <c r="BK60" i="4"/>
  <c r="BL60" i="4"/>
  <c r="BM60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B68" i="5"/>
  <c r="BC68" i="5"/>
  <c r="BD68" i="5"/>
  <c r="BE68" i="5"/>
  <c r="BF68" i="5"/>
  <c r="BG68" i="5"/>
  <c r="BH68" i="5"/>
  <c r="BI68" i="5"/>
  <c r="BJ68" i="5"/>
  <c r="BK68" i="5"/>
  <c r="BL68" i="5"/>
  <c r="BM68" i="5"/>
  <c r="BB69" i="5"/>
  <c r="BC69" i="5"/>
  <c r="BD69" i="5"/>
  <c r="BE69" i="5"/>
  <c r="BF69" i="5"/>
  <c r="BG69" i="5"/>
  <c r="BH69" i="5"/>
  <c r="BI69" i="5"/>
  <c r="BJ69" i="5"/>
  <c r="BK69" i="5"/>
  <c r="BL69" i="5"/>
  <c r="BM69" i="5"/>
  <c r="BB42" i="5"/>
  <c r="BC42" i="5"/>
  <c r="BD42" i="5"/>
  <c r="BE42" i="5"/>
  <c r="BF42" i="5"/>
  <c r="BG42" i="5"/>
  <c r="BH42" i="5"/>
  <c r="BI42" i="5"/>
  <c r="BJ42" i="5"/>
  <c r="BK42" i="5"/>
  <c r="BL42" i="5"/>
  <c r="BM42" i="5"/>
  <c r="K33" i="17"/>
  <c r="K34" i="17"/>
  <c r="K35" i="17"/>
  <c r="K36" i="17"/>
  <c r="K37" i="17"/>
  <c r="K38" i="17"/>
  <c r="K39" i="17"/>
  <c r="K40" i="17"/>
  <c r="I33" i="17"/>
  <c r="I34" i="17"/>
  <c r="I35" i="17"/>
  <c r="I36" i="17"/>
  <c r="I37" i="17"/>
  <c r="I38" i="17"/>
  <c r="I32" i="17"/>
  <c r="Z38" i="19"/>
  <c r="Z37" i="19"/>
  <c r="C38" i="19"/>
  <c r="C39" i="19"/>
  <c r="C40" i="19"/>
  <c r="C41" i="19"/>
  <c r="C42" i="19"/>
  <c r="C47" i="19"/>
  <c r="D38" i="19"/>
  <c r="D39" i="19"/>
  <c r="D40" i="19"/>
  <c r="D47" i="19"/>
  <c r="E38" i="19"/>
  <c r="E39" i="19"/>
  <c r="E40" i="19"/>
  <c r="E47" i="19"/>
  <c r="F38" i="19"/>
  <c r="F39" i="19"/>
  <c r="F40" i="19"/>
  <c r="F47" i="19"/>
  <c r="G38" i="19"/>
  <c r="G39" i="19"/>
  <c r="G40" i="19"/>
  <c r="G47" i="19"/>
  <c r="H38" i="19"/>
  <c r="H39" i="19"/>
  <c r="H40" i="19"/>
  <c r="H41" i="19"/>
  <c r="H42" i="19"/>
  <c r="H47" i="19"/>
  <c r="I38" i="19"/>
  <c r="I39" i="19"/>
  <c r="I40" i="19"/>
  <c r="I41" i="19"/>
  <c r="I47" i="19"/>
  <c r="J38" i="19"/>
  <c r="J39" i="19"/>
  <c r="J40" i="19"/>
  <c r="J41" i="19"/>
  <c r="J42" i="19"/>
  <c r="J43" i="19"/>
  <c r="J47" i="19"/>
  <c r="K38" i="19"/>
  <c r="K39" i="19"/>
  <c r="K40" i="19"/>
  <c r="K41" i="19"/>
  <c r="K42" i="19"/>
  <c r="K43" i="19"/>
  <c r="K44" i="19"/>
  <c r="K47" i="19"/>
  <c r="L38" i="19"/>
  <c r="L39" i="19"/>
  <c r="L40" i="19"/>
  <c r="L41" i="19"/>
  <c r="L42" i="19"/>
  <c r="L43" i="19"/>
  <c r="L47" i="19"/>
  <c r="M38" i="19"/>
  <c r="M39" i="19"/>
  <c r="M40" i="19"/>
  <c r="M47" i="19"/>
  <c r="O38" i="19"/>
  <c r="O39" i="19"/>
  <c r="O40" i="19"/>
  <c r="O41" i="19"/>
  <c r="O42" i="19"/>
  <c r="O47" i="19"/>
  <c r="P38" i="19"/>
  <c r="P39" i="19"/>
  <c r="P40" i="19"/>
  <c r="P47" i="19"/>
  <c r="Q38" i="19"/>
  <c r="Q39" i="19"/>
  <c r="Q40" i="19"/>
  <c r="Q41" i="19"/>
  <c r="Q47" i="19"/>
  <c r="R38" i="19"/>
  <c r="R39" i="19"/>
  <c r="R40" i="19"/>
  <c r="R41" i="19"/>
  <c r="R47" i="19"/>
  <c r="S38" i="19"/>
  <c r="S39" i="19"/>
  <c r="S40" i="19"/>
  <c r="S47" i="19"/>
  <c r="T38" i="19"/>
  <c r="T39" i="19"/>
  <c r="T40" i="19"/>
  <c r="T47" i="19"/>
  <c r="U38" i="19"/>
  <c r="U39" i="19"/>
  <c r="U47" i="19"/>
  <c r="V38" i="19"/>
  <c r="V39" i="19"/>
  <c r="V40" i="19"/>
  <c r="V41" i="19"/>
  <c r="V42" i="19"/>
  <c r="V47" i="19"/>
  <c r="W38" i="19"/>
  <c r="W39" i="19"/>
  <c r="W40" i="19"/>
  <c r="W41" i="19"/>
  <c r="W42" i="19"/>
  <c r="W43" i="19"/>
  <c r="W44" i="19"/>
  <c r="W47" i="19"/>
  <c r="X38" i="19"/>
  <c r="X39" i="19"/>
  <c r="X40" i="19"/>
  <c r="X41" i="19"/>
  <c r="X47" i="19"/>
  <c r="Y38" i="19"/>
  <c r="Y39" i="19"/>
  <c r="Y40" i="19"/>
  <c r="Y41" i="19"/>
  <c r="Y47" i="19"/>
  <c r="Z47" i="19"/>
  <c r="C48" i="19"/>
  <c r="D48" i="19"/>
  <c r="E48" i="19"/>
  <c r="F48" i="19"/>
  <c r="G48" i="19"/>
  <c r="H48" i="19"/>
  <c r="I48" i="19"/>
  <c r="J48" i="19"/>
  <c r="K48" i="19"/>
  <c r="L48" i="19"/>
  <c r="M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B38" i="19"/>
  <c r="B39" i="19"/>
  <c r="B40" i="19"/>
  <c r="B41" i="19"/>
  <c r="B48" i="19"/>
  <c r="B47" i="19"/>
  <c r="Y37" i="19"/>
  <c r="X37" i="19"/>
  <c r="W37" i="19"/>
  <c r="V37" i="19"/>
  <c r="U37" i="19"/>
  <c r="T37" i="19"/>
  <c r="S37" i="19"/>
  <c r="R37" i="19"/>
  <c r="Q37" i="19"/>
  <c r="P37" i="19"/>
  <c r="O37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C34" i="19"/>
  <c r="D34" i="19"/>
  <c r="E34" i="19"/>
  <c r="F34" i="19"/>
  <c r="G34" i="19"/>
  <c r="H34" i="19"/>
  <c r="I34" i="19"/>
  <c r="J34" i="19"/>
  <c r="K34" i="19"/>
  <c r="L34" i="19"/>
  <c r="M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B34" i="19"/>
  <c r="C28" i="18"/>
  <c r="C29" i="18"/>
  <c r="C30" i="18"/>
  <c r="C31" i="18"/>
  <c r="C36" i="18"/>
  <c r="D28" i="18"/>
  <c r="D29" i="18"/>
  <c r="D30" i="18"/>
  <c r="D36" i="18"/>
  <c r="E28" i="18"/>
  <c r="E29" i="18"/>
  <c r="E30" i="18"/>
  <c r="E36" i="18"/>
  <c r="F28" i="18"/>
  <c r="F29" i="18"/>
  <c r="F30" i="18"/>
  <c r="F36" i="18"/>
  <c r="G28" i="18"/>
  <c r="G29" i="18"/>
  <c r="G30" i="18"/>
  <c r="G31" i="18"/>
  <c r="G32" i="18"/>
  <c r="G33" i="18"/>
  <c r="G36" i="18"/>
  <c r="H28" i="18"/>
  <c r="H29" i="18"/>
  <c r="H30" i="18"/>
  <c r="H31" i="18"/>
  <c r="H32" i="18"/>
  <c r="H33" i="18"/>
  <c r="H36" i="18"/>
  <c r="I28" i="18"/>
  <c r="I29" i="18"/>
  <c r="I30" i="18"/>
  <c r="I36" i="18"/>
  <c r="J28" i="18"/>
  <c r="J29" i="18"/>
  <c r="J30" i="18"/>
  <c r="J31" i="18"/>
  <c r="J32" i="18"/>
  <c r="J33" i="18"/>
  <c r="J36" i="18"/>
  <c r="K28" i="18"/>
  <c r="K29" i="18"/>
  <c r="K30" i="18"/>
  <c r="K36" i="18"/>
  <c r="L28" i="18"/>
  <c r="L29" i="18"/>
  <c r="L30" i="18"/>
  <c r="L31" i="18"/>
  <c r="L32" i="18"/>
  <c r="L33" i="18"/>
  <c r="L34" i="18"/>
  <c r="L36" i="18"/>
  <c r="M28" i="18"/>
  <c r="M29" i="18"/>
  <c r="M30" i="18"/>
  <c r="M31" i="18"/>
  <c r="M32" i="18"/>
  <c r="M36" i="18"/>
  <c r="O28" i="18"/>
  <c r="O29" i="18"/>
  <c r="O36" i="18"/>
  <c r="P28" i="18"/>
  <c r="P29" i="18"/>
  <c r="P30" i="18"/>
  <c r="P36" i="18"/>
  <c r="Q28" i="18"/>
  <c r="Q29" i="18"/>
  <c r="Q36" i="18"/>
  <c r="R28" i="18"/>
  <c r="R29" i="18"/>
  <c r="R36" i="18"/>
  <c r="S28" i="18"/>
  <c r="S29" i="18"/>
  <c r="S36" i="18"/>
  <c r="T28" i="18"/>
  <c r="T29" i="18"/>
  <c r="T30" i="18"/>
  <c r="T36" i="18"/>
  <c r="U28" i="18"/>
  <c r="U29" i="18"/>
  <c r="U36" i="18"/>
  <c r="V28" i="18"/>
  <c r="V29" i="18"/>
  <c r="V36" i="18"/>
  <c r="W28" i="18"/>
  <c r="W29" i="18"/>
  <c r="W36" i="18"/>
  <c r="X28" i="18"/>
  <c r="X29" i="18"/>
  <c r="X36" i="18"/>
  <c r="Y28" i="18"/>
  <c r="Y29" i="18"/>
  <c r="Y30" i="18"/>
  <c r="Y31" i="18"/>
  <c r="Y36" i="18"/>
  <c r="Z28" i="18"/>
  <c r="Z29" i="18"/>
  <c r="Z36" i="18"/>
  <c r="C37" i="18"/>
  <c r="D37" i="18"/>
  <c r="E37" i="18"/>
  <c r="F37" i="18"/>
  <c r="G37" i="18"/>
  <c r="H37" i="18"/>
  <c r="I37" i="18"/>
  <c r="J37" i="18"/>
  <c r="K37" i="18"/>
  <c r="L37" i="18"/>
  <c r="M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B28" i="18"/>
  <c r="B29" i="18"/>
  <c r="B30" i="18"/>
  <c r="B37" i="18"/>
  <c r="B36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M27" i="18"/>
  <c r="L27" i="18"/>
  <c r="K27" i="18"/>
  <c r="J27" i="18"/>
  <c r="I27" i="18"/>
  <c r="H27" i="18"/>
  <c r="F27" i="18"/>
  <c r="G27" i="18"/>
  <c r="E27" i="18"/>
  <c r="D27" i="18"/>
  <c r="C27" i="18"/>
  <c r="B27" i="18"/>
  <c r="C24" i="18"/>
  <c r="D24" i="18"/>
  <c r="E24" i="18"/>
  <c r="F24" i="18"/>
  <c r="G24" i="18"/>
  <c r="H24" i="18"/>
  <c r="I24" i="18"/>
  <c r="J24" i="18"/>
  <c r="K24" i="18"/>
  <c r="L24" i="18"/>
  <c r="M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B24" i="18"/>
  <c r="P33" i="17"/>
  <c r="P34" i="17"/>
  <c r="P35" i="17"/>
  <c r="C33" i="17"/>
  <c r="C34" i="17"/>
  <c r="C35" i="17"/>
  <c r="C44" i="17"/>
  <c r="D33" i="17"/>
  <c r="D34" i="17"/>
  <c r="D35" i="17"/>
  <c r="D44" i="17"/>
  <c r="E33" i="17"/>
  <c r="E34" i="17"/>
  <c r="E35" i="17"/>
  <c r="E44" i="17"/>
  <c r="F33" i="17"/>
  <c r="F34" i="17"/>
  <c r="F35" i="17"/>
  <c r="F36" i="17"/>
  <c r="F37" i="17"/>
  <c r="F44" i="17"/>
  <c r="G33" i="17"/>
  <c r="G34" i="17"/>
  <c r="G35" i="17"/>
  <c r="G36" i="17"/>
  <c r="G37" i="17"/>
  <c r="G44" i="17"/>
  <c r="H33" i="17"/>
  <c r="H34" i="17"/>
  <c r="H35" i="17"/>
  <c r="H44" i="17"/>
  <c r="I44" i="17"/>
  <c r="J33" i="17"/>
  <c r="J34" i="17"/>
  <c r="J35" i="17"/>
  <c r="J36" i="17"/>
  <c r="J37" i="17"/>
  <c r="J38" i="17"/>
  <c r="J39" i="17"/>
  <c r="J40" i="17"/>
  <c r="J41" i="17"/>
  <c r="J44" i="17"/>
  <c r="K44" i="17"/>
  <c r="L33" i="17"/>
  <c r="L34" i="17"/>
  <c r="L35" i="17"/>
  <c r="L36" i="17"/>
  <c r="L37" i="17"/>
  <c r="L38" i="17"/>
  <c r="L39" i="17"/>
  <c r="L40" i="17"/>
  <c r="L41" i="17"/>
  <c r="L44" i="17"/>
  <c r="M33" i="17"/>
  <c r="M34" i="17"/>
  <c r="M35" i="17"/>
  <c r="M44" i="17"/>
  <c r="O33" i="17"/>
  <c r="O34" i="17"/>
  <c r="O35" i="17"/>
  <c r="O36" i="17"/>
  <c r="O44" i="17"/>
  <c r="P44" i="17"/>
  <c r="Q33" i="17"/>
  <c r="Q34" i="17"/>
  <c r="Q44" i="17"/>
  <c r="R33" i="17"/>
  <c r="R34" i="17"/>
  <c r="R35" i="17"/>
  <c r="R44" i="17"/>
  <c r="S33" i="17"/>
  <c r="S34" i="17"/>
  <c r="S35" i="17"/>
  <c r="S36" i="17"/>
  <c r="S37" i="17"/>
  <c r="S44" i="17"/>
  <c r="T33" i="17"/>
  <c r="T34" i="17"/>
  <c r="T35" i="17"/>
  <c r="T36" i="17"/>
  <c r="T37" i="17"/>
  <c r="T44" i="17"/>
  <c r="U33" i="17"/>
  <c r="U34" i="17"/>
  <c r="U35" i="17"/>
  <c r="U36" i="17"/>
  <c r="U44" i="17"/>
  <c r="V33" i="17"/>
  <c r="V34" i="17"/>
  <c r="V35" i="17"/>
  <c r="V36" i="17"/>
  <c r="V37" i="17"/>
  <c r="V38" i="17"/>
  <c r="V44" i="17"/>
  <c r="W33" i="17"/>
  <c r="W34" i="17"/>
  <c r="W35" i="17"/>
  <c r="W36" i="17"/>
  <c r="W37" i="17"/>
  <c r="W38" i="17"/>
  <c r="W39" i="17"/>
  <c r="W44" i="17"/>
  <c r="X33" i="17"/>
  <c r="X34" i="17"/>
  <c r="X44" i="17"/>
  <c r="Y33" i="17"/>
  <c r="Y34" i="17"/>
  <c r="Y35" i="17"/>
  <c r="Y44" i="17"/>
  <c r="Z33" i="17"/>
  <c r="Z34" i="17"/>
  <c r="Z44" i="17"/>
  <c r="C45" i="17"/>
  <c r="D45" i="17"/>
  <c r="E45" i="17"/>
  <c r="F45" i="17"/>
  <c r="G45" i="17"/>
  <c r="H45" i="17"/>
  <c r="I45" i="17"/>
  <c r="J45" i="17"/>
  <c r="K45" i="17"/>
  <c r="L45" i="17"/>
  <c r="M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B33" i="17"/>
  <c r="B34" i="17"/>
  <c r="B35" i="17"/>
  <c r="B45" i="17"/>
  <c r="B44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M32" i="17"/>
  <c r="L32" i="17"/>
  <c r="K32" i="17"/>
  <c r="J32" i="17"/>
  <c r="H32" i="17"/>
  <c r="G32" i="17"/>
  <c r="F32" i="17"/>
  <c r="E32" i="17"/>
  <c r="D32" i="17"/>
  <c r="C32" i="17"/>
  <c r="B32" i="17"/>
  <c r="C29" i="17"/>
  <c r="D29" i="17"/>
  <c r="E29" i="17"/>
  <c r="F29" i="17"/>
  <c r="G29" i="17"/>
  <c r="H29" i="17"/>
  <c r="I29" i="17"/>
  <c r="J29" i="17"/>
  <c r="K29" i="17"/>
  <c r="L29" i="17"/>
  <c r="M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B29" i="17"/>
  <c r="O40" i="15"/>
  <c r="P40" i="15"/>
  <c r="Q40" i="15"/>
  <c r="R40" i="15"/>
  <c r="S40" i="15"/>
  <c r="T40" i="15"/>
  <c r="U40" i="15"/>
  <c r="V40" i="15"/>
  <c r="W40" i="15"/>
  <c r="X40" i="15"/>
  <c r="Y40" i="15"/>
  <c r="Z40" i="15"/>
  <c r="O41" i="15"/>
  <c r="P41" i="15"/>
  <c r="Q41" i="15"/>
  <c r="R41" i="15"/>
  <c r="S41" i="15"/>
  <c r="T41" i="15"/>
  <c r="U41" i="15"/>
  <c r="V41" i="15"/>
  <c r="W41" i="15"/>
  <c r="X41" i="15"/>
  <c r="O42" i="15"/>
  <c r="P42" i="15"/>
  <c r="Q42" i="15"/>
  <c r="R42" i="15"/>
  <c r="S42" i="15"/>
  <c r="T42" i="15"/>
  <c r="U42" i="15"/>
  <c r="V42" i="15"/>
  <c r="W42" i="15"/>
  <c r="X42" i="15"/>
  <c r="S43" i="15"/>
  <c r="T43" i="15"/>
  <c r="U43" i="15"/>
  <c r="V43" i="15"/>
  <c r="W43" i="15"/>
  <c r="X43" i="15"/>
  <c r="T44" i="15"/>
  <c r="U44" i="15"/>
  <c r="W44" i="15"/>
  <c r="T45" i="15"/>
  <c r="U45" i="15"/>
  <c r="W45" i="15"/>
  <c r="T46" i="15"/>
  <c r="U46" i="15"/>
  <c r="W46" i="15"/>
  <c r="T47" i="15"/>
  <c r="U47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B42" i="15"/>
  <c r="C42" i="15"/>
  <c r="D42" i="15"/>
  <c r="E42" i="15"/>
  <c r="F42" i="15"/>
  <c r="G42" i="15"/>
  <c r="H42" i="15"/>
  <c r="I42" i="15"/>
  <c r="J42" i="15"/>
  <c r="K42" i="15"/>
  <c r="L42" i="15"/>
  <c r="M42" i="15"/>
  <c r="B43" i="15"/>
  <c r="C43" i="15"/>
  <c r="D43" i="15"/>
  <c r="E43" i="15"/>
  <c r="F43" i="15"/>
  <c r="G43" i="15"/>
  <c r="H43" i="15"/>
  <c r="I43" i="15"/>
  <c r="J43" i="15"/>
  <c r="K43" i="15"/>
  <c r="L43" i="15"/>
  <c r="M43" i="15"/>
  <c r="B44" i="15"/>
  <c r="D44" i="15"/>
  <c r="E44" i="15"/>
  <c r="F44" i="15"/>
  <c r="G44" i="15"/>
  <c r="H44" i="15"/>
  <c r="I44" i="15"/>
  <c r="J44" i="15"/>
  <c r="K44" i="15"/>
  <c r="L44" i="15"/>
  <c r="M44" i="15"/>
  <c r="B45" i="15"/>
  <c r="F45" i="15"/>
  <c r="G45" i="15"/>
  <c r="H45" i="15"/>
  <c r="I45" i="15"/>
  <c r="J45" i="15"/>
  <c r="K45" i="15"/>
  <c r="L45" i="15"/>
  <c r="M45" i="15"/>
  <c r="F46" i="15"/>
  <c r="G46" i="15"/>
  <c r="H46" i="15"/>
  <c r="I46" i="15"/>
  <c r="K46" i="15"/>
  <c r="L46" i="15"/>
  <c r="M46" i="15"/>
  <c r="G47" i="15"/>
  <c r="H47" i="15"/>
  <c r="I47" i="15"/>
  <c r="G48" i="15"/>
  <c r="H48" i="15"/>
  <c r="G49" i="15"/>
  <c r="H49" i="15"/>
  <c r="G50" i="15"/>
  <c r="H50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M58" i="15"/>
  <c r="L58" i="15"/>
  <c r="K58" i="15"/>
  <c r="J58" i="15"/>
  <c r="I58" i="15"/>
  <c r="H58" i="15"/>
  <c r="G58" i="15"/>
  <c r="F58" i="15"/>
  <c r="E58" i="15"/>
  <c r="D58" i="15"/>
  <c r="C58" i="15"/>
  <c r="B58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M57" i="15"/>
  <c r="L57" i="15"/>
  <c r="K57" i="15"/>
  <c r="J57" i="15"/>
  <c r="I57" i="15"/>
  <c r="H57" i="15"/>
  <c r="G57" i="15"/>
  <c r="F57" i="15"/>
  <c r="E57" i="15"/>
  <c r="D57" i="15"/>
  <c r="C57" i="15"/>
  <c r="B57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O40" i="14"/>
  <c r="P40" i="14"/>
  <c r="Q40" i="14"/>
  <c r="R40" i="14"/>
  <c r="S40" i="14"/>
  <c r="T40" i="14"/>
  <c r="U40" i="14"/>
  <c r="V40" i="14"/>
  <c r="W40" i="14"/>
  <c r="X40" i="14"/>
  <c r="Y40" i="14"/>
  <c r="Z40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O42" i="14"/>
  <c r="P42" i="14"/>
  <c r="Q42" i="14"/>
  <c r="R42" i="14"/>
  <c r="S42" i="14"/>
  <c r="T42" i="14"/>
  <c r="V42" i="14"/>
  <c r="W42" i="14"/>
  <c r="X42" i="14"/>
  <c r="Y42" i="14"/>
  <c r="Z42" i="14"/>
  <c r="O43" i="14"/>
  <c r="P43" i="14"/>
  <c r="R43" i="14"/>
  <c r="S43" i="14"/>
  <c r="V43" i="14"/>
  <c r="W43" i="14"/>
  <c r="X43" i="14"/>
  <c r="Y43" i="14"/>
  <c r="Z43" i="14"/>
  <c r="P44" i="14"/>
  <c r="R44" i="14"/>
  <c r="S44" i="14"/>
  <c r="V44" i="14"/>
  <c r="W44" i="14"/>
  <c r="Y44" i="14"/>
  <c r="Z44" i="14"/>
  <c r="R45" i="14"/>
  <c r="W45" i="14"/>
  <c r="Y45" i="14"/>
  <c r="W46" i="14"/>
  <c r="Y46" i="14"/>
  <c r="Y47" i="14"/>
  <c r="Y48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C44" i="14"/>
  <c r="D44" i="14"/>
  <c r="E44" i="14"/>
  <c r="F44" i="14"/>
  <c r="G44" i="14"/>
  <c r="H44" i="14"/>
  <c r="I44" i="14"/>
  <c r="J44" i="14"/>
  <c r="K44" i="14"/>
  <c r="L44" i="14"/>
  <c r="C45" i="14"/>
  <c r="D45" i="14"/>
  <c r="E45" i="14"/>
  <c r="F45" i="14"/>
  <c r="G45" i="14"/>
  <c r="H45" i="14"/>
  <c r="I45" i="14"/>
  <c r="J45" i="14"/>
  <c r="K45" i="14"/>
  <c r="L45" i="14"/>
  <c r="C46" i="14"/>
  <c r="E46" i="14"/>
  <c r="F46" i="14"/>
  <c r="G46" i="14"/>
  <c r="H46" i="14"/>
  <c r="I46" i="14"/>
  <c r="J46" i="14"/>
  <c r="K46" i="14"/>
  <c r="C47" i="14"/>
  <c r="E47" i="14"/>
  <c r="F47" i="14"/>
  <c r="G47" i="14"/>
  <c r="H47" i="14"/>
  <c r="I47" i="14"/>
  <c r="J47" i="14"/>
  <c r="K47" i="14"/>
  <c r="I48" i="14"/>
  <c r="J48" i="14"/>
  <c r="I49" i="14"/>
  <c r="J49" i="14"/>
  <c r="J50" i="14"/>
  <c r="J51" i="14"/>
  <c r="J52" i="14"/>
  <c r="J53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X40" i="10"/>
  <c r="X41" i="10"/>
  <c r="X42" i="10"/>
  <c r="O40" i="13"/>
  <c r="P40" i="13"/>
  <c r="Q40" i="13"/>
  <c r="R40" i="13"/>
  <c r="S40" i="13"/>
  <c r="T40" i="13"/>
  <c r="U40" i="13"/>
  <c r="V40" i="13"/>
  <c r="W40" i="13"/>
  <c r="X40" i="13"/>
  <c r="Y40" i="13"/>
  <c r="Z40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O43" i="13"/>
  <c r="P43" i="13"/>
  <c r="Q43" i="13"/>
  <c r="R43" i="13"/>
  <c r="S43" i="13"/>
  <c r="T43" i="13"/>
  <c r="U43" i="13"/>
  <c r="V43" i="13"/>
  <c r="W43" i="13"/>
  <c r="X43" i="13"/>
  <c r="P44" i="13"/>
  <c r="Q44" i="13"/>
  <c r="R44" i="13"/>
  <c r="S44" i="13"/>
  <c r="T44" i="13"/>
  <c r="U44" i="13"/>
  <c r="V44" i="13"/>
  <c r="W44" i="13"/>
  <c r="Q45" i="13"/>
  <c r="R45" i="13"/>
  <c r="S45" i="13"/>
  <c r="T45" i="13"/>
  <c r="U45" i="13"/>
  <c r="V45" i="13"/>
  <c r="W45" i="13"/>
  <c r="S46" i="13"/>
  <c r="T46" i="13"/>
  <c r="V46" i="13"/>
  <c r="S47" i="13"/>
  <c r="T47" i="13"/>
  <c r="V47" i="13"/>
  <c r="T48" i="13"/>
  <c r="V48" i="13"/>
  <c r="T49" i="13"/>
  <c r="V49" i="13"/>
  <c r="T50" i="13"/>
  <c r="V50" i="13"/>
  <c r="T51" i="13"/>
  <c r="V51" i="13"/>
  <c r="T52" i="13"/>
  <c r="T53" i="13"/>
  <c r="T54" i="13"/>
  <c r="T55" i="13"/>
  <c r="B40" i="13"/>
  <c r="C40" i="13"/>
  <c r="D40" i="13"/>
  <c r="E40" i="13"/>
  <c r="F40" i="13"/>
  <c r="G40" i="13"/>
  <c r="H40" i="13"/>
  <c r="I40" i="13"/>
  <c r="J40" i="13"/>
  <c r="K40" i="13"/>
  <c r="L40" i="13"/>
  <c r="M40" i="13"/>
  <c r="B41" i="13"/>
  <c r="C41" i="13"/>
  <c r="D41" i="13"/>
  <c r="E41" i="13"/>
  <c r="F41" i="13"/>
  <c r="G41" i="13"/>
  <c r="H41" i="13"/>
  <c r="I41" i="13"/>
  <c r="J41" i="13"/>
  <c r="K41" i="13"/>
  <c r="L41" i="13"/>
  <c r="M41" i="13"/>
  <c r="B42" i="13"/>
  <c r="C42" i="13"/>
  <c r="D42" i="13"/>
  <c r="E42" i="13"/>
  <c r="F42" i="13"/>
  <c r="G42" i="13"/>
  <c r="H42" i="13"/>
  <c r="I42" i="13"/>
  <c r="J42" i="13"/>
  <c r="K42" i="13"/>
  <c r="L42" i="13"/>
  <c r="M42" i="13"/>
  <c r="B43" i="13"/>
  <c r="C43" i="13"/>
  <c r="D43" i="13"/>
  <c r="E43" i="13"/>
  <c r="F43" i="13"/>
  <c r="G43" i="13"/>
  <c r="H43" i="13"/>
  <c r="I43" i="13"/>
  <c r="J43" i="13"/>
  <c r="K43" i="13"/>
  <c r="L43" i="13"/>
  <c r="B44" i="13"/>
  <c r="C44" i="13"/>
  <c r="D44" i="13"/>
  <c r="E44" i="13"/>
  <c r="F44" i="13"/>
  <c r="G44" i="13"/>
  <c r="H44" i="13"/>
  <c r="I44" i="13"/>
  <c r="J44" i="13"/>
  <c r="K44" i="13"/>
  <c r="L44" i="13"/>
  <c r="B45" i="13"/>
  <c r="C45" i="13"/>
  <c r="D45" i="13"/>
  <c r="E45" i="13"/>
  <c r="F45" i="13"/>
  <c r="G45" i="13"/>
  <c r="H45" i="13"/>
  <c r="I45" i="13"/>
  <c r="J45" i="13"/>
  <c r="K45" i="13"/>
  <c r="L45" i="13"/>
  <c r="B46" i="13"/>
  <c r="C46" i="13"/>
  <c r="E46" i="13"/>
  <c r="F46" i="13"/>
  <c r="G46" i="13"/>
  <c r="I46" i="13"/>
  <c r="J46" i="13"/>
  <c r="K46" i="13"/>
  <c r="L46" i="13"/>
  <c r="B47" i="13"/>
  <c r="C47" i="13"/>
  <c r="E47" i="13"/>
  <c r="F47" i="13"/>
  <c r="G47" i="13"/>
  <c r="I47" i="13"/>
  <c r="J47" i="13"/>
  <c r="K47" i="13"/>
  <c r="L47" i="13"/>
  <c r="C48" i="13"/>
  <c r="F48" i="13"/>
  <c r="I48" i="13"/>
  <c r="J48" i="13"/>
  <c r="K48" i="13"/>
  <c r="L48" i="13"/>
  <c r="I49" i="13"/>
  <c r="J49" i="13"/>
  <c r="K49" i="13"/>
  <c r="I50" i="13"/>
  <c r="J50" i="13"/>
  <c r="K50" i="13"/>
  <c r="I51" i="13"/>
  <c r="J51" i="13"/>
  <c r="K51" i="13"/>
  <c r="J52" i="13"/>
  <c r="K52" i="13"/>
  <c r="K53" i="13"/>
  <c r="K54" i="13"/>
  <c r="K55" i="13"/>
  <c r="K56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M58" i="13"/>
  <c r="L58" i="13"/>
  <c r="K58" i="13"/>
  <c r="J58" i="13"/>
  <c r="I58" i="13"/>
  <c r="H58" i="13"/>
  <c r="G58" i="13"/>
  <c r="F58" i="13"/>
  <c r="E58" i="13"/>
  <c r="D58" i="13"/>
  <c r="C58" i="13"/>
  <c r="B58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Z40" i="12"/>
  <c r="Y40" i="12"/>
  <c r="Y41" i="12"/>
  <c r="Y42" i="12"/>
  <c r="X40" i="12"/>
  <c r="X41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V40" i="12"/>
  <c r="V41" i="12"/>
  <c r="V42" i="12"/>
  <c r="V43" i="12"/>
  <c r="V44" i="12"/>
  <c r="V45" i="12"/>
  <c r="V46" i="12"/>
  <c r="U40" i="12"/>
  <c r="U41" i="12"/>
  <c r="U42" i="12"/>
  <c r="U43" i="12"/>
  <c r="T40" i="12"/>
  <c r="T41" i="12"/>
  <c r="T42" i="12"/>
  <c r="T43" i="12"/>
  <c r="T44" i="12"/>
  <c r="T45" i="12"/>
  <c r="T46" i="12"/>
  <c r="T47" i="12"/>
  <c r="T48" i="12"/>
  <c r="T49" i="12"/>
  <c r="T50" i="12"/>
  <c r="S40" i="12"/>
  <c r="S41" i="12"/>
  <c r="S42" i="12"/>
  <c r="S43" i="12"/>
  <c r="S44" i="12"/>
  <c r="S45" i="12"/>
  <c r="S46" i="12"/>
  <c r="S47" i="12"/>
  <c r="R40" i="12"/>
  <c r="R41" i="12"/>
  <c r="R42" i="12"/>
  <c r="R43" i="12"/>
  <c r="R44" i="12"/>
  <c r="R45" i="12"/>
  <c r="R46" i="12"/>
  <c r="R47" i="12"/>
  <c r="Q40" i="12"/>
  <c r="Q41" i="12"/>
  <c r="Q42" i="12"/>
  <c r="Q43" i="12"/>
  <c r="Q44" i="12"/>
  <c r="Q45" i="12"/>
  <c r="P40" i="12"/>
  <c r="P41" i="12"/>
  <c r="P42" i="12"/>
  <c r="P43" i="12"/>
  <c r="P44" i="12"/>
  <c r="P45" i="12"/>
  <c r="P46" i="12"/>
  <c r="P47" i="12"/>
  <c r="P48" i="12"/>
  <c r="P49" i="12"/>
  <c r="P50" i="12"/>
  <c r="O40" i="12"/>
  <c r="O41" i="12"/>
  <c r="O42" i="12"/>
  <c r="O43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M40" i="12"/>
  <c r="M41" i="12"/>
  <c r="M42" i="12"/>
  <c r="M43" i="12"/>
  <c r="M44" i="12"/>
  <c r="M45" i="12"/>
  <c r="M46" i="12"/>
  <c r="M47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K58" i="12"/>
  <c r="K57" i="12"/>
  <c r="K56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H40" i="12"/>
  <c r="H41" i="12"/>
  <c r="H42" i="12"/>
  <c r="H43" i="12"/>
  <c r="H44" i="12"/>
  <c r="H45" i="12"/>
  <c r="H46" i="12"/>
  <c r="H47" i="12"/>
  <c r="H48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F40" i="12"/>
  <c r="F41" i="12"/>
  <c r="F42" i="12"/>
  <c r="F43" i="12"/>
  <c r="F44" i="12"/>
  <c r="F45" i="12"/>
  <c r="F46" i="12"/>
  <c r="F47" i="12"/>
  <c r="F48" i="12"/>
  <c r="F49" i="12"/>
  <c r="F50" i="12"/>
  <c r="E40" i="12"/>
  <c r="E41" i="12"/>
  <c r="E42" i="12"/>
  <c r="E43" i="12"/>
  <c r="E44" i="12"/>
  <c r="E45" i="12"/>
  <c r="E46" i="12"/>
  <c r="E47" i="12"/>
  <c r="D40" i="12"/>
  <c r="D41" i="12"/>
  <c r="D42" i="12"/>
  <c r="D43" i="12"/>
  <c r="D44" i="12"/>
  <c r="D45" i="12"/>
  <c r="C40" i="12"/>
  <c r="C41" i="12"/>
  <c r="C42" i="12"/>
  <c r="C43" i="12"/>
  <c r="C44" i="12"/>
  <c r="B40" i="12"/>
  <c r="B41" i="12"/>
  <c r="B42" i="12"/>
  <c r="B43" i="12"/>
  <c r="B44" i="12"/>
  <c r="B45" i="12"/>
  <c r="B46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M58" i="12"/>
  <c r="L58" i="12"/>
  <c r="J58" i="12"/>
  <c r="I58" i="12"/>
  <c r="H58" i="12"/>
  <c r="G58" i="12"/>
  <c r="F58" i="12"/>
  <c r="E58" i="12"/>
  <c r="D58" i="12"/>
  <c r="C58" i="12"/>
  <c r="B58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M57" i="12"/>
  <c r="L57" i="12"/>
  <c r="J57" i="12"/>
  <c r="I57" i="12"/>
  <c r="H57" i="12"/>
  <c r="G57" i="12"/>
  <c r="F57" i="12"/>
  <c r="E57" i="12"/>
  <c r="D57" i="12"/>
  <c r="C57" i="12"/>
  <c r="B57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Z40" i="11"/>
  <c r="Z41" i="11"/>
  <c r="Z39" i="11"/>
  <c r="Y40" i="11"/>
  <c r="Y39" i="11"/>
  <c r="X40" i="11"/>
  <c r="X41" i="11"/>
  <c r="X42" i="11"/>
  <c r="X43" i="11"/>
  <c r="X39" i="11"/>
  <c r="W40" i="11"/>
  <c r="W41" i="11"/>
  <c r="W42" i="11"/>
  <c r="W39" i="11"/>
  <c r="V40" i="11"/>
  <c r="V41" i="11"/>
  <c r="V42" i="11"/>
  <c r="V39" i="11"/>
  <c r="U40" i="11"/>
  <c r="U41" i="11"/>
  <c r="U42" i="11"/>
  <c r="U39" i="11"/>
  <c r="T40" i="11"/>
  <c r="T41" i="11"/>
  <c r="T42" i="11"/>
  <c r="T43" i="11"/>
  <c r="T44" i="11"/>
  <c r="T39" i="11"/>
  <c r="S40" i="11"/>
  <c r="S41" i="11"/>
  <c r="S42" i="11"/>
  <c r="S43" i="11"/>
  <c r="S44" i="11"/>
  <c r="S45" i="11"/>
  <c r="S39" i="11"/>
  <c r="R40" i="11"/>
  <c r="R41" i="11"/>
  <c r="R42" i="11"/>
  <c r="R43" i="11"/>
  <c r="R39" i="11"/>
  <c r="Q40" i="11"/>
  <c r="Q41" i="11"/>
  <c r="Q42" i="11"/>
  <c r="Q39" i="11"/>
  <c r="P40" i="11"/>
  <c r="P41" i="11"/>
  <c r="P39" i="11"/>
  <c r="O40" i="11"/>
  <c r="O41" i="11"/>
  <c r="O42" i="11"/>
  <c r="O43" i="11"/>
  <c r="O39" i="11"/>
  <c r="H58" i="11"/>
  <c r="H57" i="11"/>
  <c r="M40" i="11"/>
  <c r="M41" i="11"/>
  <c r="M42" i="11"/>
  <c r="M43" i="11"/>
  <c r="M39" i="11"/>
  <c r="L40" i="11"/>
  <c r="L41" i="11"/>
  <c r="L42" i="11"/>
  <c r="L43" i="11"/>
  <c r="L44" i="11"/>
  <c r="L45" i="11"/>
  <c r="L46" i="11"/>
  <c r="L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39" i="11"/>
  <c r="G40" i="11"/>
  <c r="G41" i="11"/>
  <c r="G42" i="11"/>
  <c r="G43" i="11"/>
  <c r="G44" i="11"/>
  <c r="G45" i="11"/>
  <c r="G46" i="11"/>
  <c r="G47" i="11"/>
  <c r="G48" i="11"/>
  <c r="G49" i="11"/>
  <c r="G39" i="11"/>
  <c r="F40" i="11"/>
  <c r="F41" i="11"/>
  <c r="F42" i="11"/>
  <c r="F43" i="11"/>
  <c r="F44" i="11"/>
  <c r="F45" i="11"/>
  <c r="F46" i="11"/>
  <c r="F47" i="11"/>
  <c r="F48" i="11"/>
  <c r="F49" i="11"/>
  <c r="F39" i="11"/>
  <c r="E40" i="11"/>
  <c r="E41" i="11"/>
  <c r="E42" i="11"/>
  <c r="E43" i="11"/>
  <c r="E44" i="11"/>
  <c r="E45" i="11"/>
  <c r="E46" i="11"/>
  <c r="E47" i="11"/>
  <c r="E48" i="11"/>
  <c r="E39" i="11"/>
  <c r="D40" i="11"/>
  <c r="D41" i="11"/>
  <c r="D42" i="11"/>
  <c r="D43" i="11"/>
  <c r="D44" i="11"/>
  <c r="D45" i="11"/>
  <c r="D39" i="11"/>
  <c r="C40" i="11"/>
  <c r="C41" i="11"/>
  <c r="C42" i="11"/>
  <c r="C43" i="11"/>
  <c r="C44" i="11"/>
  <c r="C39" i="11"/>
  <c r="B40" i="11"/>
  <c r="B41" i="11"/>
  <c r="B42" i="11"/>
  <c r="B43" i="11"/>
  <c r="B44" i="11"/>
  <c r="B45" i="11"/>
  <c r="B46" i="11"/>
  <c r="B47" i="11"/>
  <c r="B39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M58" i="11"/>
  <c r="L58" i="11"/>
  <c r="K58" i="11"/>
  <c r="J58" i="11"/>
  <c r="I58" i="11"/>
  <c r="G58" i="11"/>
  <c r="F58" i="11"/>
  <c r="E58" i="11"/>
  <c r="D58" i="11"/>
  <c r="C58" i="11"/>
  <c r="B58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M57" i="11"/>
  <c r="L57" i="11"/>
  <c r="K57" i="11"/>
  <c r="J57" i="11"/>
  <c r="I57" i="11"/>
  <c r="G57" i="11"/>
  <c r="F57" i="11"/>
  <c r="E57" i="11"/>
  <c r="D57" i="11"/>
  <c r="C57" i="11"/>
  <c r="B57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Z40" i="10"/>
  <c r="Z39" i="10"/>
  <c r="Y40" i="10"/>
  <c r="Y39" i="10"/>
  <c r="X39" i="10"/>
  <c r="W40" i="10"/>
  <c r="W41" i="10"/>
  <c r="W42" i="10"/>
  <c r="W39" i="10"/>
  <c r="V40" i="10"/>
  <c r="V41" i="10"/>
  <c r="V42" i="10"/>
  <c r="V43" i="10"/>
  <c r="V44" i="10"/>
  <c r="V45" i="10"/>
  <c r="V46" i="10"/>
  <c r="V39" i="10"/>
  <c r="U40" i="10"/>
  <c r="U41" i="10"/>
  <c r="U42" i="10"/>
  <c r="U43" i="10"/>
  <c r="U44" i="10"/>
  <c r="U39" i="10"/>
  <c r="T40" i="10"/>
  <c r="T41" i="10"/>
  <c r="T42" i="10"/>
  <c r="T43" i="10"/>
  <c r="T44" i="10"/>
  <c r="T45" i="10"/>
  <c r="T46" i="10"/>
  <c r="T39" i="10"/>
  <c r="S40" i="10"/>
  <c r="S41" i="10"/>
  <c r="S42" i="10"/>
  <c r="S43" i="10"/>
  <c r="S44" i="10"/>
  <c r="S45" i="10"/>
  <c r="S46" i="10"/>
  <c r="S47" i="10"/>
  <c r="S39" i="10"/>
  <c r="R40" i="10"/>
  <c r="R41" i="10"/>
  <c r="R42" i="10"/>
  <c r="R43" i="10"/>
  <c r="R44" i="10"/>
  <c r="R45" i="10"/>
  <c r="R46" i="10"/>
  <c r="R47" i="10"/>
  <c r="R39" i="10"/>
  <c r="Q40" i="10"/>
  <c r="Q41" i="10"/>
  <c r="Q42" i="10"/>
  <c r="Q43" i="10"/>
  <c r="Q39" i="10"/>
  <c r="P40" i="10"/>
  <c r="P41" i="10"/>
  <c r="P42" i="10"/>
  <c r="P43" i="10"/>
  <c r="P44" i="10"/>
  <c r="P45" i="10"/>
  <c r="P46" i="10"/>
  <c r="P39" i="10"/>
  <c r="O40" i="10"/>
  <c r="O41" i="10"/>
  <c r="O42" i="10"/>
  <c r="O43" i="10"/>
  <c r="O44" i="10"/>
  <c r="O45" i="10"/>
  <c r="O46" i="10"/>
  <c r="O47" i="10"/>
  <c r="O39" i="10"/>
  <c r="M40" i="10"/>
  <c r="M41" i="10"/>
  <c r="M39" i="10"/>
  <c r="L40" i="10"/>
  <c r="L41" i="10"/>
  <c r="L42" i="10"/>
  <c r="L43" i="10"/>
  <c r="L44" i="10"/>
  <c r="L39" i="10"/>
  <c r="K52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39" i="10"/>
  <c r="J40" i="10"/>
  <c r="J41" i="10"/>
  <c r="J42" i="10"/>
  <c r="J43" i="10"/>
  <c r="J44" i="10"/>
  <c r="J45" i="10"/>
  <c r="J46" i="10"/>
  <c r="J47" i="10"/>
  <c r="J48" i="10"/>
  <c r="J49" i="10"/>
  <c r="J50" i="10"/>
  <c r="J39" i="10"/>
  <c r="I40" i="10"/>
  <c r="I41" i="10"/>
  <c r="I42" i="10"/>
  <c r="I43" i="10"/>
  <c r="I44" i="10"/>
  <c r="I45" i="10"/>
  <c r="I46" i="10"/>
  <c r="I47" i="10"/>
  <c r="I39" i="10"/>
  <c r="H40" i="10"/>
  <c r="H41" i="10"/>
  <c r="H42" i="10"/>
  <c r="H43" i="10"/>
  <c r="H44" i="10"/>
  <c r="H45" i="10"/>
  <c r="H46" i="10"/>
  <c r="H47" i="10"/>
  <c r="H48" i="10"/>
  <c r="H49" i="10"/>
  <c r="H50" i="10"/>
  <c r="H39" i="10"/>
  <c r="G40" i="10"/>
  <c r="G41" i="10"/>
  <c r="G42" i="10"/>
  <c r="G43" i="10"/>
  <c r="G44" i="10"/>
  <c r="G45" i="10"/>
  <c r="G46" i="10"/>
  <c r="G47" i="10"/>
  <c r="G48" i="10"/>
  <c r="G39" i="10"/>
  <c r="F40" i="10"/>
  <c r="F41" i="10"/>
  <c r="F42" i="10"/>
  <c r="F43" i="10"/>
  <c r="F44" i="10"/>
  <c r="F45" i="10"/>
  <c r="F46" i="10"/>
  <c r="F47" i="10"/>
  <c r="F48" i="10"/>
  <c r="F39" i="10"/>
  <c r="E40" i="10"/>
  <c r="E41" i="10"/>
  <c r="E42" i="10"/>
  <c r="E43" i="10"/>
  <c r="E44" i="10"/>
  <c r="E45" i="10"/>
  <c r="E39" i="10"/>
  <c r="D40" i="10"/>
  <c r="D41" i="10"/>
  <c r="D42" i="10"/>
  <c r="D43" i="10"/>
  <c r="D44" i="10"/>
  <c r="D45" i="10"/>
  <c r="D39" i="10"/>
  <c r="C52" i="10"/>
  <c r="C51" i="10"/>
  <c r="C40" i="10"/>
  <c r="C41" i="10"/>
  <c r="C42" i="10"/>
  <c r="C43" i="10"/>
  <c r="C44" i="10"/>
  <c r="C45" i="10"/>
  <c r="C46" i="10"/>
  <c r="C47" i="10"/>
  <c r="C48" i="10"/>
  <c r="C49" i="10"/>
  <c r="C50" i="10"/>
  <c r="C39" i="10"/>
  <c r="B40" i="10"/>
  <c r="B41" i="10"/>
  <c r="B42" i="10"/>
  <c r="B43" i="10"/>
  <c r="B44" i="10"/>
  <c r="B45" i="10"/>
  <c r="B46" i="10"/>
  <c r="B47" i="10"/>
  <c r="B48" i="10"/>
  <c r="B49" i="10"/>
  <c r="B50" i="10"/>
  <c r="B39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Z40" i="9"/>
  <c r="Z41" i="9"/>
  <c r="Z42" i="9"/>
  <c r="Z39" i="9"/>
  <c r="Y40" i="9"/>
  <c r="Y41" i="9"/>
  <c r="Y42" i="9"/>
  <c r="Y43" i="9"/>
  <c r="Y39" i="9"/>
  <c r="X40" i="9"/>
  <c r="X41" i="9"/>
  <c r="X42" i="9"/>
  <c r="X43" i="9"/>
  <c r="X44" i="9"/>
  <c r="X45" i="9"/>
  <c r="X39" i="9"/>
  <c r="W40" i="9"/>
  <c r="W41" i="9"/>
  <c r="W42" i="9"/>
  <c r="W43" i="9"/>
  <c r="W44" i="9"/>
  <c r="W45" i="9"/>
  <c r="W39" i="9"/>
  <c r="V40" i="9"/>
  <c r="V41" i="9"/>
  <c r="V42" i="9"/>
  <c r="V43" i="9"/>
  <c r="V44" i="9"/>
  <c r="V45" i="9"/>
  <c r="V39" i="9"/>
  <c r="U40" i="9"/>
  <c r="U41" i="9"/>
  <c r="U42" i="9"/>
  <c r="U43" i="9"/>
  <c r="U44" i="9"/>
  <c r="U45" i="9"/>
  <c r="U39" i="9"/>
  <c r="T40" i="9"/>
  <c r="T41" i="9"/>
  <c r="T42" i="9"/>
  <c r="T43" i="9"/>
  <c r="T39" i="9"/>
  <c r="S40" i="9"/>
  <c r="S41" i="9"/>
  <c r="S42" i="9"/>
  <c r="S43" i="9"/>
  <c r="S39" i="9"/>
  <c r="R40" i="9"/>
  <c r="R41" i="9"/>
  <c r="R42" i="9"/>
  <c r="R43" i="9"/>
  <c r="R39" i="9"/>
  <c r="Q40" i="9"/>
  <c r="Q41" i="9"/>
  <c r="Q42" i="9"/>
  <c r="Q43" i="9"/>
  <c r="Q39" i="9"/>
  <c r="P40" i="9"/>
  <c r="P41" i="9"/>
  <c r="P42" i="9"/>
  <c r="P43" i="9"/>
  <c r="P44" i="9"/>
  <c r="P45" i="9"/>
  <c r="P46" i="9"/>
  <c r="P39" i="9"/>
  <c r="O40" i="9"/>
  <c r="O41" i="9"/>
  <c r="O42" i="9"/>
  <c r="O43" i="9"/>
  <c r="O39" i="9"/>
  <c r="G59" i="9"/>
  <c r="G58" i="9"/>
  <c r="J59" i="9"/>
  <c r="J58" i="9"/>
  <c r="M40" i="9"/>
  <c r="M41" i="9"/>
  <c r="M42" i="9"/>
  <c r="M43" i="9"/>
  <c r="M44" i="9"/>
  <c r="M45" i="9"/>
  <c r="M46" i="9"/>
  <c r="M39" i="9"/>
  <c r="L40" i="9"/>
  <c r="L41" i="9"/>
  <c r="L42" i="9"/>
  <c r="L43" i="9"/>
  <c r="L44" i="9"/>
  <c r="L45" i="9"/>
  <c r="L46" i="9"/>
  <c r="L47" i="9"/>
  <c r="L48" i="9"/>
  <c r="L39" i="9"/>
  <c r="K40" i="9"/>
  <c r="K41" i="9"/>
  <c r="K42" i="9"/>
  <c r="K43" i="9"/>
  <c r="K44" i="9"/>
  <c r="K45" i="9"/>
  <c r="K46" i="9"/>
  <c r="K47" i="9"/>
  <c r="K48" i="9"/>
  <c r="K49" i="9"/>
  <c r="K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39" i="9"/>
  <c r="I40" i="9"/>
  <c r="I41" i="9"/>
  <c r="I42" i="9"/>
  <c r="I43" i="9"/>
  <c r="I44" i="9"/>
  <c r="I45" i="9"/>
  <c r="I46" i="9"/>
  <c r="I47" i="9"/>
  <c r="I48" i="9"/>
  <c r="I49" i="9"/>
  <c r="I50" i="9"/>
  <c r="I39" i="9"/>
  <c r="H52" i="9"/>
  <c r="H40" i="9"/>
  <c r="H41" i="9"/>
  <c r="H42" i="9"/>
  <c r="H43" i="9"/>
  <c r="H44" i="9"/>
  <c r="H45" i="9"/>
  <c r="H46" i="9"/>
  <c r="H47" i="9"/>
  <c r="H48" i="9"/>
  <c r="H49" i="9"/>
  <c r="H50" i="9"/>
  <c r="H51" i="9"/>
  <c r="H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39" i="9"/>
  <c r="F40" i="9"/>
  <c r="F41" i="9"/>
  <c r="F42" i="9"/>
  <c r="F43" i="9"/>
  <c r="F44" i="9"/>
  <c r="F45" i="9"/>
  <c r="F46" i="9"/>
  <c r="F39" i="9"/>
  <c r="E40" i="9"/>
  <c r="E41" i="9"/>
  <c r="E42" i="9"/>
  <c r="E43" i="9"/>
  <c r="E44" i="9"/>
  <c r="E45" i="9"/>
  <c r="E39" i="9"/>
  <c r="D40" i="9"/>
  <c r="D41" i="9"/>
  <c r="D42" i="9"/>
  <c r="D39" i="9"/>
  <c r="C40" i="9"/>
  <c r="C41" i="9"/>
  <c r="C42" i="9"/>
  <c r="C43" i="9"/>
  <c r="C44" i="9"/>
  <c r="C45" i="9"/>
  <c r="C39" i="9"/>
  <c r="B40" i="9"/>
  <c r="B41" i="9"/>
  <c r="B42" i="9"/>
  <c r="B43" i="9"/>
  <c r="B44" i="9"/>
  <c r="B45" i="9"/>
  <c r="B46" i="9"/>
  <c r="B39" i="9"/>
  <c r="Z59" i="9"/>
  <c r="Y59" i="9"/>
  <c r="X59" i="9"/>
  <c r="W59" i="9"/>
  <c r="V59" i="9"/>
  <c r="U59" i="9"/>
  <c r="T59" i="9"/>
  <c r="S59" i="9"/>
  <c r="R59" i="9"/>
  <c r="Q59" i="9"/>
  <c r="P59" i="9"/>
  <c r="O59" i="9"/>
  <c r="M59" i="9"/>
  <c r="L59" i="9"/>
  <c r="K59" i="9"/>
  <c r="I59" i="9"/>
  <c r="H59" i="9"/>
  <c r="F59" i="9"/>
  <c r="E59" i="9"/>
  <c r="D59" i="9"/>
  <c r="C59" i="9"/>
  <c r="B59" i="9"/>
  <c r="Z58" i="9"/>
  <c r="Y58" i="9"/>
  <c r="X58" i="9"/>
  <c r="W58" i="9"/>
  <c r="V58" i="9"/>
  <c r="U58" i="9"/>
  <c r="T58" i="9"/>
  <c r="S58" i="9"/>
  <c r="R58" i="9"/>
  <c r="Q58" i="9"/>
  <c r="P58" i="9"/>
  <c r="O58" i="9"/>
  <c r="M58" i="9"/>
  <c r="L58" i="9"/>
  <c r="K58" i="9"/>
  <c r="I58" i="9"/>
  <c r="H58" i="9"/>
  <c r="F58" i="9"/>
  <c r="E58" i="9"/>
  <c r="D58" i="9"/>
  <c r="C58" i="9"/>
  <c r="B58" i="9"/>
  <c r="Z35" i="9"/>
  <c r="Y35" i="9"/>
  <c r="X35" i="9"/>
  <c r="W35" i="9"/>
  <c r="V35" i="9"/>
  <c r="U35" i="9"/>
  <c r="T35" i="9"/>
  <c r="S35" i="9"/>
  <c r="R35" i="9"/>
  <c r="Q35" i="9"/>
  <c r="P35" i="9"/>
  <c r="O35" i="9"/>
  <c r="M35" i="9"/>
  <c r="L35" i="9"/>
  <c r="K35" i="9"/>
  <c r="J35" i="9"/>
  <c r="I35" i="9"/>
  <c r="H35" i="9"/>
  <c r="G35" i="9"/>
  <c r="F35" i="9"/>
  <c r="E35" i="9"/>
  <c r="D35" i="9"/>
  <c r="C35" i="9"/>
  <c r="B35" i="9"/>
  <c r="V40" i="8"/>
  <c r="V41" i="8"/>
  <c r="V42" i="8"/>
  <c r="V39" i="8"/>
  <c r="U40" i="8"/>
  <c r="U41" i="8"/>
  <c r="U42" i="8"/>
  <c r="U43" i="8"/>
  <c r="U44" i="8"/>
  <c r="AZ40" i="8"/>
  <c r="AZ41" i="8"/>
  <c r="AZ42" i="8"/>
  <c r="AZ43" i="8"/>
  <c r="AZ39" i="8"/>
  <c r="AY40" i="8"/>
  <c r="AY41" i="8"/>
  <c r="AY42" i="8"/>
  <c r="AY43" i="8"/>
  <c r="AY44" i="8"/>
  <c r="AY39" i="8"/>
  <c r="AX40" i="8"/>
  <c r="AX41" i="8"/>
  <c r="AX42" i="8"/>
  <c r="AX43" i="8"/>
  <c r="AX39" i="8"/>
  <c r="AW40" i="8"/>
  <c r="AW41" i="8"/>
  <c r="AW39" i="8"/>
  <c r="AV40" i="8"/>
  <c r="AV41" i="8"/>
  <c r="AV42" i="8"/>
  <c r="AV39" i="8"/>
  <c r="AU40" i="8"/>
  <c r="AU41" i="8"/>
  <c r="AU42" i="8"/>
  <c r="AU39" i="8"/>
  <c r="AT40" i="8"/>
  <c r="AT41" i="8"/>
  <c r="AT42" i="8"/>
  <c r="AT39" i="8"/>
  <c r="AS40" i="8"/>
  <c r="AS41" i="8"/>
  <c r="AS42" i="8"/>
  <c r="AS39" i="8"/>
  <c r="AR40" i="8"/>
  <c r="AR41" i="8"/>
  <c r="AR42" i="8"/>
  <c r="AR39" i="8"/>
  <c r="AQ40" i="8"/>
  <c r="AQ41" i="8"/>
  <c r="AQ42" i="8"/>
  <c r="AQ39" i="8"/>
  <c r="AP40" i="8"/>
  <c r="AP41" i="8"/>
  <c r="AP42" i="8"/>
  <c r="AP39" i="8"/>
  <c r="AO40" i="8"/>
  <c r="AO41" i="8"/>
  <c r="AO42" i="8"/>
  <c r="AO39" i="8"/>
  <c r="AM40" i="8"/>
  <c r="AM41" i="8"/>
  <c r="AM42" i="8"/>
  <c r="AM39" i="8"/>
  <c r="AL40" i="8"/>
  <c r="AL41" i="8"/>
  <c r="AL42" i="8"/>
  <c r="AL43" i="8"/>
  <c r="AL44" i="8"/>
  <c r="AL45" i="8"/>
  <c r="AL46" i="8"/>
  <c r="AL39" i="8"/>
  <c r="AK40" i="8"/>
  <c r="AK41" i="8"/>
  <c r="AK42" i="8"/>
  <c r="AK43" i="8"/>
  <c r="AK44" i="8"/>
  <c r="AK45" i="8"/>
  <c r="AK46" i="8"/>
  <c r="AK47" i="8"/>
  <c r="AK39" i="8"/>
  <c r="AJ40" i="8"/>
  <c r="AJ41" i="8"/>
  <c r="AJ42" i="8"/>
  <c r="AJ43" i="8"/>
  <c r="AJ44" i="8"/>
  <c r="AJ45" i="8"/>
  <c r="AJ46" i="8"/>
  <c r="AJ39" i="8"/>
  <c r="AI40" i="8"/>
  <c r="AI41" i="8"/>
  <c r="AI42" i="8"/>
  <c r="AI43" i="8"/>
  <c r="AI44" i="8"/>
  <c r="AI45" i="8"/>
  <c r="AI46" i="8"/>
  <c r="AI47" i="8"/>
  <c r="AI48" i="8"/>
  <c r="AI49" i="8"/>
  <c r="AI50" i="8"/>
  <c r="AI39" i="8"/>
  <c r="AH40" i="8"/>
  <c r="AH41" i="8"/>
  <c r="AH42" i="8"/>
  <c r="AH43" i="8"/>
  <c r="AH44" i="8"/>
  <c r="AH45" i="8"/>
  <c r="AH46" i="8"/>
  <c r="AH47" i="8"/>
  <c r="AH48" i="8"/>
  <c r="AH49" i="8"/>
  <c r="AH50" i="8"/>
  <c r="AH39" i="8"/>
  <c r="AG40" i="8"/>
  <c r="AG41" i="8"/>
  <c r="AG42" i="8"/>
  <c r="AG43" i="8"/>
  <c r="AG44" i="8"/>
  <c r="AG45" i="8"/>
  <c r="AG46" i="8"/>
  <c r="AG47" i="8"/>
  <c r="AG48" i="8"/>
  <c r="AG39" i="8"/>
  <c r="AF40" i="8"/>
  <c r="AF41" i="8"/>
  <c r="AF42" i="8"/>
  <c r="AF43" i="8"/>
  <c r="AF44" i="8"/>
  <c r="AF45" i="8"/>
  <c r="AF39" i="8"/>
  <c r="AE40" i="8"/>
  <c r="AE41" i="8"/>
  <c r="AE42" i="8"/>
  <c r="AE43" i="8"/>
  <c r="AE44" i="8"/>
  <c r="AE39" i="8"/>
  <c r="AD40" i="8"/>
  <c r="AD41" i="8"/>
  <c r="AD42" i="8"/>
  <c r="AD43" i="8"/>
  <c r="AD44" i="8"/>
  <c r="AD45" i="8"/>
  <c r="AD46" i="8"/>
  <c r="AD39" i="8"/>
  <c r="AC40" i="8"/>
  <c r="AC41" i="8"/>
  <c r="AC42" i="8"/>
  <c r="AC43" i="8"/>
  <c r="AC44" i="8"/>
  <c r="AC39" i="8"/>
  <c r="AB40" i="8"/>
  <c r="AB41" i="8"/>
  <c r="AB39" i="8"/>
  <c r="Z40" i="8"/>
  <c r="Z41" i="8"/>
  <c r="Z42" i="8"/>
  <c r="Z43" i="8"/>
  <c r="Z44" i="8"/>
  <c r="Z45" i="8"/>
  <c r="Z46" i="8"/>
  <c r="Z39" i="8"/>
  <c r="Y40" i="8"/>
  <c r="Y41" i="8"/>
  <c r="Y42" i="8"/>
  <c r="Y43" i="8"/>
  <c r="Y44" i="8"/>
  <c r="Y39" i="8"/>
  <c r="X40" i="8"/>
  <c r="X41" i="8"/>
  <c r="X42" i="8"/>
  <c r="X43" i="8"/>
  <c r="X44" i="8"/>
  <c r="X45" i="8"/>
  <c r="X46" i="8"/>
  <c r="X47" i="8"/>
  <c r="X48" i="8"/>
  <c r="X39" i="8"/>
  <c r="W40" i="8"/>
  <c r="W41" i="8"/>
  <c r="W42" i="8"/>
  <c r="W43" i="8"/>
  <c r="W44" i="8"/>
  <c r="W39" i="8"/>
  <c r="U39" i="8"/>
  <c r="T40" i="8"/>
  <c r="T41" i="8"/>
  <c r="T42" i="8"/>
  <c r="T43" i="8"/>
  <c r="T39" i="8"/>
  <c r="S40" i="8"/>
  <c r="S41" i="8"/>
  <c r="S42" i="8"/>
  <c r="S43" i="8"/>
  <c r="S39" i="8"/>
  <c r="R40" i="8"/>
  <c r="R41" i="8"/>
  <c r="R42" i="8"/>
  <c r="R43" i="8"/>
  <c r="R39" i="8"/>
  <c r="Q40" i="8"/>
  <c r="Q41" i="8"/>
  <c r="Q42" i="8"/>
  <c r="Q43" i="8"/>
  <c r="Q44" i="8"/>
  <c r="Q39" i="8"/>
  <c r="P40" i="8"/>
  <c r="P41" i="8"/>
  <c r="P42" i="8"/>
  <c r="P43" i="8"/>
  <c r="P39" i="8"/>
  <c r="O40" i="8"/>
  <c r="O41" i="8"/>
  <c r="O42" i="8"/>
  <c r="O43" i="8"/>
  <c r="O39" i="8"/>
  <c r="M40" i="8"/>
  <c r="M41" i="8"/>
  <c r="M42" i="8"/>
  <c r="M43" i="8"/>
  <c r="M39" i="8"/>
  <c r="L52" i="8"/>
  <c r="L50" i="8"/>
  <c r="L51" i="8"/>
  <c r="L40" i="8"/>
  <c r="L41" i="8"/>
  <c r="L42" i="8"/>
  <c r="L43" i="8"/>
  <c r="L44" i="8"/>
  <c r="L45" i="8"/>
  <c r="L46" i="8"/>
  <c r="L47" i="8"/>
  <c r="L48" i="8"/>
  <c r="L49" i="8"/>
  <c r="L39" i="8"/>
  <c r="K40" i="8"/>
  <c r="K41" i="8"/>
  <c r="K42" i="8"/>
  <c r="K43" i="8"/>
  <c r="K44" i="8"/>
  <c r="K39" i="8"/>
  <c r="J40" i="8"/>
  <c r="J41" i="8"/>
  <c r="J42" i="8"/>
  <c r="J43" i="8"/>
  <c r="J44" i="8"/>
  <c r="J45" i="8"/>
  <c r="J46" i="8"/>
  <c r="J47" i="8"/>
  <c r="J48" i="8"/>
  <c r="J49" i="8"/>
  <c r="J50" i="8"/>
  <c r="J39" i="8"/>
  <c r="I40" i="8"/>
  <c r="I41" i="8"/>
  <c r="I42" i="8"/>
  <c r="I43" i="8"/>
  <c r="I44" i="8"/>
  <c r="I39" i="8"/>
  <c r="H40" i="8"/>
  <c r="H41" i="8"/>
  <c r="H42" i="8"/>
  <c r="H43" i="8"/>
  <c r="H44" i="8"/>
  <c r="H45" i="8"/>
  <c r="H46" i="8"/>
  <c r="H39" i="8"/>
  <c r="G40" i="8"/>
  <c r="G41" i="8"/>
  <c r="G42" i="8"/>
  <c r="G43" i="8"/>
  <c r="G39" i="8"/>
  <c r="F40" i="8"/>
  <c r="F41" i="8"/>
  <c r="F42" i="8"/>
  <c r="F43" i="8"/>
  <c r="F44" i="8"/>
  <c r="F45" i="8"/>
  <c r="F46" i="8"/>
  <c r="F47" i="8"/>
  <c r="F39" i="8"/>
  <c r="E40" i="8"/>
  <c r="E41" i="8"/>
  <c r="E42" i="8"/>
  <c r="E43" i="8"/>
  <c r="E39" i="8"/>
  <c r="D40" i="8"/>
  <c r="D41" i="8"/>
  <c r="D42" i="8"/>
  <c r="D43" i="8"/>
  <c r="D44" i="8"/>
  <c r="C40" i="8"/>
  <c r="C41" i="8"/>
  <c r="C42" i="8"/>
  <c r="C43" i="8"/>
  <c r="C44" i="8"/>
  <c r="C45" i="8"/>
  <c r="C39" i="8"/>
  <c r="B40" i="8"/>
  <c r="B41" i="8"/>
  <c r="B42" i="8"/>
  <c r="B43" i="8"/>
  <c r="B44" i="8"/>
  <c r="B45" i="8"/>
  <c r="B46" i="8"/>
  <c r="B39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Z55" i="8"/>
  <c r="Y55" i="8"/>
  <c r="X55" i="8"/>
  <c r="W55" i="8"/>
  <c r="V55" i="8"/>
  <c r="U55" i="8"/>
  <c r="T55" i="8"/>
  <c r="S55" i="8"/>
  <c r="R55" i="8"/>
  <c r="Q55" i="8"/>
  <c r="P55" i="8"/>
  <c r="O55" i="8"/>
  <c r="M55" i="8"/>
  <c r="L55" i="8"/>
  <c r="K55" i="8"/>
  <c r="J55" i="8"/>
  <c r="I55" i="8"/>
  <c r="H55" i="8"/>
  <c r="G55" i="8"/>
  <c r="F55" i="8"/>
  <c r="E55" i="8"/>
  <c r="D39" i="8"/>
  <c r="D55" i="8"/>
  <c r="C55" i="8"/>
  <c r="B55" i="8"/>
  <c r="AZ54" i="8"/>
  <c r="AY54" i="8"/>
  <c r="AX54" i="8"/>
  <c r="AW54" i="8"/>
  <c r="AV54" i="8"/>
  <c r="AU54" i="8"/>
  <c r="AT54" i="8"/>
  <c r="AS54" i="8"/>
  <c r="AR54" i="8"/>
  <c r="AQ54" i="8"/>
  <c r="AP54" i="8"/>
  <c r="AO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Z54" i="8"/>
  <c r="Y54" i="8"/>
  <c r="X54" i="8"/>
  <c r="W54" i="8"/>
  <c r="V54" i="8"/>
  <c r="U54" i="8"/>
  <c r="T54" i="8"/>
  <c r="S54" i="8"/>
  <c r="R54" i="8"/>
  <c r="Q54" i="8"/>
  <c r="P54" i="8"/>
  <c r="O54" i="8"/>
  <c r="M54" i="8"/>
  <c r="L54" i="8"/>
  <c r="K54" i="8"/>
  <c r="J54" i="8"/>
  <c r="I54" i="8"/>
  <c r="H54" i="8"/>
  <c r="G54" i="8"/>
  <c r="F54" i="8"/>
  <c r="E54" i="8"/>
  <c r="D54" i="8"/>
  <c r="C54" i="8"/>
  <c r="B54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Z35" i="8"/>
  <c r="Y35" i="8"/>
  <c r="X35" i="8"/>
  <c r="W35" i="8"/>
  <c r="V35" i="8"/>
  <c r="U35" i="8"/>
  <c r="T35" i="8"/>
  <c r="S35" i="8"/>
  <c r="R35" i="8"/>
  <c r="Q35" i="8"/>
  <c r="P35" i="8"/>
  <c r="O35" i="8"/>
  <c r="M35" i="8"/>
  <c r="L35" i="8"/>
  <c r="K35" i="8"/>
  <c r="J35" i="8"/>
  <c r="I35" i="8"/>
  <c r="H35" i="8"/>
  <c r="G35" i="8"/>
  <c r="F35" i="8"/>
  <c r="E35" i="8"/>
  <c r="D35" i="8"/>
  <c r="C35" i="8"/>
  <c r="B35" i="8"/>
  <c r="AZ40" i="7"/>
  <c r="AZ41" i="7"/>
  <c r="AZ42" i="7"/>
  <c r="AZ43" i="7"/>
  <c r="AZ39" i="7"/>
  <c r="AY40" i="7"/>
  <c r="AY41" i="7"/>
  <c r="AY42" i="7"/>
  <c r="AY39" i="7"/>
  <c r="AX40" i="7"/>
  <c r="AX41" i="7"/>
  <c r="AX42" i="7"/>
  <c r="AX43" i="7"/>
  <c r="AX44" i="7"/>
  <c r="AX39" i="7"/>
  <c r="AW40" i="7"/>
  <c r="AW41" i="7"/>
  <c r="AW42" i="7"/>
  <c r="AW43" i="7"/>
  <c r="AW44" i="7"/>
  <c r="AW45" i="7"/>
  <c r="AW46" i="7"/>
  <c r="AW47" i="7"/>
  <c r="AW39" i="7"/>
  <c r="AV40" i="7"/>
  <c r="AV41" i="7"/>
  <c r="AV42" i="7"/>
  <c r="AV43" i="7"/>
  <c r="AV44" i="7"/>
  <c r="AV39" i="7"/>
  <c r="AU40" i="7"/>
  <c r="AU41" i="7"/>
  <c r="AU42" i="7"/>
  <c r="AU43" i="7"/>
  <c r="AU44" i="7"/>
  <c r="AU39" i="7"/>
  <c r="AT40" i="7"/>
  <c r="AT41" i="7"/>
  <c r="AT42" i="7"/>
  <c r="AT43" i="7"/>
  <c r="AT44" i="7"/>
  <c r="AT45" i="7"/>
  <c r="AT39" i="7"/>
  <c r="AS40" i="7"/>
  <c r="AS41" i="7"/>
  <c r="AS42" i="7"/>
  <c r="AS43" i="7"/>
  <c r="AS44" i="7"/>
  <c r="AS45" i="7"/>
  <c r="AS46" i="7"/>
  <c r="AS39" i="7"/>
  <c r="AR40" i="7"/>
  <c r="AR41" i="7"/>
  <c r="AR42" i="7"/>
  <c r="AR39" i="7"/>
  <c r="AQ40" i="7"/>
  <c r="AQ41" i="7"/>
  <c r="AQ42" i="7"/>
  <c r="AQ43" i="7"/>
  <c r="AQ39" i="7"/>
  <c r="AP40" i="7"/>
  <c r="AP41" i="7"/>
  <c r="AP42" i="7"/>
  <c r="AP43" i="7"/>
  <c r="AP44" i="7"/>
  <c r="AP39" i="7"/>
  <c r="AO40" i="7"/>
  <c r="AO41" i="7"/>
  <c r="AO42" i="7"/>
  <c r="AO39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AM40" i="7"/>
  <c r="AM41" i="7"/>
  <c r="AM42" i="7"/>
  <c r="AM43" i="7"/>
  <c r="AM39" i="7"/>
  <c r="AL40" i="7"/>
  <c r="AL41" i="7"/>
  <c r="AL42" i="7"/>
  <c r="AL39" i="7"/>
  <c r="AK40" i="7"/>
  <c r="AK41" i="7"/>
  <c r="AK42" i="7"/>
  <c r="AK43" i="7"/>
  <c r="AK44" i="7"/>
  <c r="AK39" i="7"/>
  <c r="AJ40" i="7"/>
  <c r="AJ41" i="7"/>
  <c r="AJ42" i="7"/>
  <c r="AJ43" i="7"/>
  <c r="AJ44" i="7"/>
  <c r="AJ39" i="7"/>
  <c r="AI40" i="7"/>
  <c r="AI41" i="7"/>
  <c r="AI42" i="7"/>
  <c r="AI39" i="7"/>
  <c r="AH40" i="7"/>
  <c r="AH41" i="7"/>
  <c r="AH42" i="7"/>
  <c r="AH43" i="7"/>
  <c r="AH44" i="7"/>
  <c r="AH39" i="7"/>
  <c r="AG40" i="7"/>
  <c r="AG41" i="7"/>
  <c r="AG42" i="7"/>
  <c r="AG43" i="7"/>
  <c r="AG44" i="7"/>
  <c r="AG39" i="7"/>
  <c r="AF40" i="7"/>
  <c r="AF41" i="7"/>
  <c r="AF42" i="7"/>
  <c r="AF43" i="7"/>
  <c r="AF44" i="7"/>
  <c r="AF39" i="7"/>
  <c r="AE40" i="7"/>
  <c r="AE41" i="7"/>
  <c r="AE42" i="7"/>
  <c r="AE43" i="7"/>
  <c r="AE39" i="7"/>
  <c r="AD40" i="7"/>
  <c r="AD41" i="7"/>
  <c r="AD42" i="7"/>
  <c r="AD43" i="7"/>
  <c r="AD44" i="7"/>
  <c r="AD39" i="7"/>
  <c r="AC40" i="7"/>
  <c r="AC41" i="7"/>
  <c r="AC42" i="7"/>
  <c r="AC43" i="7"/>
  <c r="AC39" i="7"/>
  <c r="AB43" i="7"/>
  <c r="AB44" i="7"/>
  <c r="AB40" i="7"/>
  <c r="AB41" i="7"/>
  <c r="AB42" i="7"/>
  <c r="AB39" i="7"/>
  <c r="Z40" i="7"/>
  <c r="Z41" i="7"/>
  <c r="Z39" i="7"/>
  <c r="Y40" i="7"/>
  <c r="Y41" i="7"/>
  <c r="Y42" i="7"/>
  <c r="Y43" i="7"/>
  <c r="Y44" i="7"/>
  <c r="Y45" i="7"/>
  <c r="Y39" i="7"/>
  <c r="X40" i="7"/>
  <c r="X41" i="7"/>
  <c r="X39" i="7"/>
  <c r="W40" i="7"/>
  <c r="W41" i="7"/>
  <c r="W42" i="7"/>
  <c r="W39" i="7"/>
  <c r="V40" i="7"/>
  <c r="V41" i="7"/>
  <c r="V42" i="7"/>
  <c r="V43" i="7"/>
  <c r="V44" i="7"/>
  <c r="V39" i="7"/>
  <c r="U40" i="7"/>
  <c r="U41" i="7"/>
  <c r="U39" i="7"/>
  <c r="T40" i="7"/>
  <c r="T41" i="7"/>
  <c r="T42" i="7"/>
  <c r="T39" i="7"/>
  <c r="S40" i="7"/>
  <c r="S41" i="7"/>
  <c r="S39" i="7"/>
  <c r="R40" i="7"/>
  <c r="R41" i="7"/>
  <c r="R42" i="7"/>
  <c r="R39" i="7"/>
  <c r="Q40" i="7"/>
  <c r="Q41" i="7"/>
  <c r="Q42" i="7"/>
  <c r="Q39" i="7"/>
  <c r="P40" i="7"/>
  <c r="P41" i="7"/>
  <c r="P39" i="7"/>
  <c r="O40" i="7"/>
  <c r="O41" i="7"/>
  <c r="O39" i="7"/>
  <c r="L40" i="7"/>
  <c r="L41" i="7"/>
  <c r="L42" i="7"/>
  <c r="L43" i="7"/>
  <c r="M44" i="7"/>
  <c r="M45" i="7"/>
  <c r="M40" i="7"/>
  <c r="M41" i="7"/>
  <c r="M42" i="7"/>
  <c r="M43" i="7"/>
  <c r="M39" i="7"/>
  <c r="L39" i="7"/>
  <c r="K40" i="7"/>
  <c r="K41" i="7"/>
  <c r="K42" i="7"/>
  <c r="K43" i="7"/>
  <c r="K44" i="7"/>
  <c r="K45" i="7"/>
  <c r="K46" i="7"/>
  <c r="K39" i="7"/>
  <c r="J40" i="7"/>
  <c r="J41" i="7"/>
  <c r="J42" i="7"/>
  <c r="J43" i="7"/>
  <c r="J44" i="7"/>
  <c r="J45" i="7"/>
  <c r="J46" i="7"/>
  <c r="J47" i="7"/>
  <c r="J48" i="7"/>
  <c r="J49" i="7"/>
  <c r="J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39" i="7"/>
  <c r="H40" i="7"/>
  <c r="H41" i="7"/>
  <c r="H42" i="7"/>
  <c r="H43" i="7"/>
  <c r="H44" i="7"/>
  <c r="H45" i="7"/>
  <c r="H46" i="7"/>
  <c r="H39" i="7"/>
  <c r="G40" i="7"/>
  <c r="G41" i="7"/>
  <c r="G42" i="7"/>
  <c r="G43" i="7"/>
  <c r="G44" i="7"/>
  <c r="G45" i="7"/>
  <c r="G46" i="7"/>
  <c r="G47" i="7"/>
  <c r="G39" i="7"/>
  <c r="F40" i="7"/>
  <c r="F41" i="7"/>
  <c r="F42" i="7"/>
  <c r="F43" i="7"/>
  <c r="F44" i="7"/>
  <c r="F45" i="7"/>
  <c r="F39" i="7"/>
  <c r="E40" i="7"/>
  <c r="E41" i="7"/>
  <c r="E42" i="7"/>
  <c r="E43" i="7"/>
  <c r="E44" i="7"/>
  <c r="E45" i="7"/>
  <c r="E46" i="7"/>
  <c r="E39" i="7"/>
  <c r="D40" i="7"/>
  <c r="D41" i="7"/>
  <c r="D42" i="7"/>
  <c r="D43" i="7"/>
  <c r="D44" i="7"/>
  <c r="D39" i="7"/>
  <c r="C40" i="7"/>
  <c r="C41" i="7"/>
  <c r="C42" i="7"/>
  <c r="C43" i="7"/>
  <c r="C39" i="7"/>
  <c r="B40" i="7"/>
  <c r="B41" i="7"/>
  <c r="B42" i="7"/>
  <c r="B43" i="7"/>
  <c r="B44" i="7"/>
  <c r="B39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Z55" i="7"/>
  <c r="Y55" i="7"/>
  <c r="X55" i="7"/>
  <c r="W55" i="7"/>
  <c r="V55" i="7"/>
  <c r="U55" i="7"/>
  <c r="T55" i="7"/>
  <c r="S55" i="7"/>
  <c r="R55" i="7"/>
  <c r="Q55" i="7"/>
  <c r="P55" i="7"/>
  <c r="O55" i="7"/>
  <c r="M55" i="7"/>
  <c r="L55" i="7"/>
  <c r="K55" i="7"/>
  <c r="J55" i="7"/>
  <c r="I55" i="7"/>
  <c r="H55" i="7"/>
  <c r="G55" i="7"/>
  <c r="F55" i="7"/>
  <c r="E55" i="7"/>
  <c r="D55" i="7"/>
  <c r="C55" i="7"/>
  <c r="B55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Z54" i="7"/>
  <c r="Y54" i="7"/>
  <c r="X54" i="7"/>
  <c r="W54" i="7"/>
  <c r="V54" i="7"/>
  <c r="U54" i="7"/>
  <c r="T54" i="7"/>
  <c r="S54" i="7"/>
  <c r="R54" i="7"/>
  <c r="Q54" i="7"/>
  <c r="P54" i="7"/>
  <c r="O54" i="7"/>
  <c r="M54" i="7"/>
  <c r="L54" i="7"/>
  <c r="K54" i="7"/>
  <c r="J54" i="7"/>
  <c r="I54" i="7"/>
  <c r="H54" i="7"/>
  <c r="G54" i="7"/>
  <c r="F54" i="7"/>
  <c r="E54" i="7"/>
  <c r="D54" i="7"/>
  <c r="C54" i="7"/>
  <c r="B54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Z35" i="7"/>
  <c r="Y35" i="7"/>
  <c r="X35" i="7"/>
  <c r="W35" i="7"/>
  <c r="V35" i="7"/>
  <c r="U35" i="7"/>
  <c r="T35" i="7"/>
  <c r="S35" i="7"/>
  <c r="R35" i="7"/>
  <c r="Q35" i="7"/>
  <c r="P35" i="7"/>
  <c r="O35" i="7"/>
  <c r="M35" i="7"/>
  <c r="L35" i="7"/>
  <c r="K35" i="7"/>
  <c r="J35" i="7"/>
  <c r="I35" i="7"/>
  <c r="H35" i="7"/>
  <c r="G35" i="7"/>
  <c r="F35" i="7"/>
  <c r="E35" i="7"/>
  <c r="D35" i="7"/>
  <c r="C35" i="7"/>
  <c r="B35" i="7"/>
  <c r="AZ47" i="5"/>
  <c r="AZ48" i="5"/>
  <c r="AZ49" i="5"/>
  <c r="AZ46" i="5"/>
  <c r="AY47" i="5"/>
  <c r="AY48" i="5"/>
  <c r="AY49" i="5"/>
  <c r="AY50" i="5"/>
  <c r="AY46" i="5"/>
  <c r="AX47" i="5"/>
  <c r="AX48" i="5"/>
  <c r="AX49" i="5"/>
  <c r="AX46" i="5"/>
  <c r="AW47" i="5"/>
  <c r="AW48" i="5"/>
  <c r="AW49" i="5"/>
  <c r="AW50" i="5"/>
  <c r="AW51" i="5"/>
  <c r="AW46" i="5"/>
  <c r="AV47" i="5"/>
  <c r="AV48" i="5"/>
  <c r="AV49" i="5"/>
  <c r="AV50" i="5"/>
  <c r="AV51" i="5"/>
  <c r="AV46" i="5"/>
  <c r="AU47" i="5"/>
  <c r="AU48" i="5"/>
  <c r="AU49" i="5"/>
  <c r="AU50" i="5"/>
  <c r="AU51" i="5"/>
  <c r="AU46" i="5"/>
  <c r="AT47" i="5"/>
  <c r="AT48" i="5"/>
  <c r="AT49" i="5"/>
  <c r="AT50" i="5"/>
  <c r="AT51" i="5"/>
  <c r="AT46" i="5"/>
  <c r="AS47" i="5"/>
  <c r="AS48" i="5"/>
  <c r="AS49" i="5"/>
  <c r="AS46" i="5"/>
  <c r="AR47" i="5"/>
  <c r="AR48" i="5"/>
  <c r="AR49" i="5"/>
  <c r="AR46" i="5"/>
  <c r="AQ47" i="5"/>
  <c r="AQ48" i="5"/>
  <c r="AQ49" i="5"/>
  <c r="AQ46" i="5"/>
  <c r="AP47" i="5"/>
  <c r="AP48" i="5"/>
  <c r="AP49" i="5"/>
  <c r="AP46" i="5"/>
  <c r="AO47" i="5"/>
  <c r="AO48" i="5"/>
  <c r="AO46" i="5"/>
  <c r="AM47" i="5"/>
  <c r="AM46" i="5"/>
  <c r="AL47" i="5"/>
  <c r="AL48" i="5"/>
  <c r="AL49" i="5"/>
  <c r="AL46" i="5"/>
  <c r="AK47" i="5"/>
  <c r="AK48" i="5"/>
  <c r="AK49" i="5"/>
  <c r="AK50" i="5"/>
  <c r="AK46" i="5"/>
  <c r="AJ47" i="5"/>
  <c r="AJ48" i="5"/>
  <c r="AJ49" i="5"/>
  <c r="AJ50" i="5"/>
  <c r="AJ51" i="5"/>
  <c r="AJ52" i="5"/>
  <c r="AJ46" i="5"/>
  <c r="AI47" i="5"/>
  <c r="AI48" i="5"/>
  <c r="AI49" i="5"/>
  <c r="AI50" i="5"/>
  <c r="AI46" i="5"/>
  <c r="AH47" i="5"/>
  <c r="AH48" i="5"/>
  <c r="AH49" i="5"/>
  <c r="AH50" i="5"/>
  <c r="AH51" i="5"/>
  <c r="AH52" i="5"/>
  <c r="AH53" i="5"/>
  <c r="AH54" i="5"/>
  <c r="AH55" i="5"/>
  <c r="AH56" i="5"/>
  <c r="AH46" i="5"/>
  <c r="AG47" i="5"/>
  <c r="AG48" i="5"/>
  <c r="AG49" i="5"/>
  <c r="AG50" i="5"/>
  <c r="AG51" i="5"/>
  <c r="AG46" i="5"/>
  <c r="AF47" i="5"/>
  <c r="AF48" i="5"/>
  <c r="AF49" i="5"/>
  <c r="AF50" i="5"/>
  <c r="AF46" i="5"/>
  <c r="AE47" i="5"/>
  <c r="AE48" i="5"/>
  <c r="AE49" i="5"/>
  <c r="AE50" i="5"/>
  <c r="AE51" i="5"/>
  <c r="AE52" i="5"/>
  <c r="AE46" i="5"/>
  <c r="AD47" i="5"/>
  <c r="AD48" i="5"/>
  <c r="AD49" i="5"/>
  <c r="AD50" i="5"/>
  <c r="AD46" i="5"/>
  <c r="AC47" i="5"/>
  <c r="AC48" i="5"/>
  <c r="AC49" i="5"/>
  <c r="AC50" i="5"/>
  <c r="AC51" i="5"/>
  <c r="AC52" i="5"/>
  <c r="AC46" i="5"/>
  <c r="AB47" i="5"/>
  <c r="AB48" i="5"/>
  <c r="AB49" i="5"/>
  <c r="AB50" i="5"/>
  <c r="AB51" i="5"/>
  <c r="AB46" i="5"/>
  <c r="Z47" i="5"/>
  <c r="Z48" i="5"/>
  <c r="Z49" i="5"/>
  <c r="Z46" i="5"/>
  <c r="Y47" i="5"/>
  <c r="Y48" i="5"/>
  <c r="Y49" i="5"/>
  <c r="Y50" i="5"/>
  <c r="Y51" i="5"/>
  <c r="Y46" i="5"/>
  <c r="X47" i="5"/>
  <c r="X48" i="5"/>
  <c r="X49" i="5"/>
  <c r="X50" i="5"/>
  <c r="X51" i="5"/>
  <c r="X52" i="5"/>
  <c r="X53" i="5"/>
  <c r="X54" i="5"/>
  <c r="X46" i="5"/>
  <c r="W47" i="5"/>
  <c r="W48" i="5"/>
  <c r="W49" i="5"/>
  <c r="W50" i="5"/>
  <c r="W51" i="5"/>
  <c r="W52" i="5"/>
  <c r="W53" i="5"/>
  <c r="W54" i="5"/>
  <c r="W46" i="5"/>
  <c r="V47" i="5"/>
  <c r="V48" i="5"/>
  <c r="V49" i="5"/>
  <c r="V50" i="5"/>
  <c r="V51" i="5"/>
  <c r="V46" i="5"/>
  <c r="U47" i="5"/>
  <c r="U48" i="5"/>
  <c r="U49" i="5"/>
  <c r="U50" i="5"/>
  <c r="U46" i="5"/>
  <c r="T47" i="5"/>
  <c r="T48" i="5"/>
  <c r="T49" i="5"/>
  <c r="T50" i="5"/>
  <c r="T51" i="5"/>
  <c r="T52" i="5"/>
  <c r="T53" i="5"/>
  <c r="T54" i="5"/>
  <c r="T46" i="5"/>
  <c r="S47" i="5"/>
  <c r="S48" i="5"/>
  <c r="S49" i="5"/>
  <c r="S50" i="5"/>
  <c r="S51" i="5"/>
  <c r="S52" i="5"/>
  <c r="S53" i="5"/>
  <c r="S54" i="5"/>
  <c r="S46" i="5"/>
  <c r="R47" i="5"/>
  <c r="R48" i="5"/>
  <c r="R49" i="5"/>
  <c r="R50" i="5"/>
  <c r="R51" i="5"/>
  <c r="R46" i="5"/>
  <c r="Q47" i="5"/>
  <c r="Q48" i="5"/>
  <c r="Q49" i="5"/>
  <c r="Q46" i="5"/>
  <c r="P47" i="5"/>
  <c r="P48" i="5"/>
  <c r="P49" i="5"/>
  <c r="P50" i="5"/>
  <c r="P51" i="5"/>
  <c r="P46" i="5"/>
  <c r="O47" i="5"/>
  <c r="O48" i="5"/>
  <c r="O49" i="5"/>
  <c r="O50" i="5"/>
  <c r="O51" i="5"/>
  <c r="O46" i="5"/>
  <c r="M47" i="5"/>
  <c r="M48" i="5"/>
  <c r="M49" i="5"/>
  <c r="M50" i="5"/>
  <c r="M46" i="5"/>
  <c r="L47" i="5"/>
  <c r="L48" i="5"/>
  <c r="L46" i="5"/>
  <c r="K47" i="5"/>
  <c r="K48" i="5"/>
  <c r="K49" i="5"/>
  <c r="K50" i="5"/>
  <c r="K51" i="5"/>
  <c r="K52" i="5"/>
  <c r="K53" i="5"/>
  <c r="K54" i="5"/>
  <c r="K55" i="5"/>
  <c r="K46" i="5"/>
  <c r="J47" i="5"/>
  <c r="J48" i="5"/>
  <c r="J49" i="5"/>
  <c r="J50" i="5"/>
  <c r="J51" i="5"/>
  <c r="J52" i="5"/>
  <c r="J53" i="5"/>
  <c r="J54" i="5"/>
  <c r="J46" i="5"/>
  <c r="I47" i="5"/>
  <c r="I48" i="5"/>
  <c r="I49" i="5"/>
  <c r="I50" i="5"/>
  <c r="I51" i="5"/>
  <c r="I52" i="5"/>
  <c r="I53" i="5"/>
  <c r="I54" i="5"/>
  <c r="I55" i="5"/>
  <c r="I56" i="5"/>
  <c r="I46" i="5"/>
  <c r="H47" i="5"/>
  <c r="H48" i="5"/>
  <c r="H49" i="5"/>
  <c r="H50" i="5"/>
  <c r="H51" i="5"/>
  <c r="H52" i="5"/>
  <c r="H53" i="5"/>
  <c r="H54" i="5"/>
  <c r="H55" i="5"/>
  <c r="H46" i="5"/>
  <c r="G47" i="5"/>
  <c r="G48" i="5"/>
  <c r="G49" i="5"/>
  <c r="G50" i="5"/>
  <c r="G51" i="5"/>
  <c r="G52" i="5"/>
  <c r="G53" i="5"/>
  <c r="G54" i="5"/>
  <c r="G55" i="5"/>
  <c r="G56" i="5"/>
  <c r="G57" i="5"/>
  <c r="G46" i="5"/>
  <c r="F47" i="5"/>
  <c r="F48" i="5"/>
  <c r="F49" i="5"/>
  <c r="F50" i="5"/>
  <c r="F51" i="5"/>
  <c r="F52" i="5"/>
  <c r="F53" i="5"/>
  <c r="F54" i="5"/>
  <c r="F46" i="5"/>
  <c r="E47" i="5"/>
  <c r="E48" i="5"/>
  <c r="E49" i="5"/>
  <c r="E50" i="5"/>
  <c r="E51" i="5"/>
  <c r="E46" i="5"/>
  <c r="D47" i="5"/>
  <c r="D48" i="5"/>
  <c r="D49" i="5"/>
  <c r="D50" i="5"/>
  <c r="D51" i="5"/>
  <c r="D52" i="5"/>
  <c r="D46" i="5"/>
  <c r="C47" i="5"/>
  <c r="C48" i="5"/>
  <c r="C49" i="5"/>
  <c r="C50" i="5"/>
  <c r="C46" i="5"/>
  <c r="B53" i="5"/>
  <c r="B47" i="5"/>
  <c r="B48" i="5"/>
  <c r="B49" i="5"/>
  <c r="B50" i="5"/>
  <c r="B51" i="5"/>
  <c r="B52" i="5"/>
  <c r="B46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Z69" i="5"/>
  <c r="Y69" i="5"/>
  <c r="X69" i="5"/>
  <c r="W69" i="5"/>
  <c r="V69" i="5"/>
  <c r="U69" i="5"/>
  <c r="T69" i="5"/>
  <c r="S69" i="5"/>
  <c r="R69" i="5"/>
  <c r="Q69" i="5"/>
  <c r="P69" i="5"/>
  <c r="O69" i="5"/>
  <c r="M69" i="5"/>
  <c r="L69" i="5"/>
  <c r="K69" i="5"/>
  <c r="J69" i="5"/>
  <c r="I69" i="5"/>
  <c r="H69" i="5"/>
  <c r="G69" i="5"/>
  <c r="F69" i="5"/>
  <c r="E69" i="5"/>
  <c r="D69" i="5"/>
  <c r="C69" i="5"/>
  <c r="B69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Z68" i="5"/>
  <c r="Y68" i="5"/>
  <c r="X68" i="5"/>
  <c r="W68" i="5"/>
  <c r="V68" i="5"/>
  <c r="U68" i="5"/>
  <c r="T68" i="5"/>
  <c r="S68" i="5"/>
  <c r="R68" i="5"/>
  <c r="Q68" i="5"/>
  <c r="P68" i="5"/>
  <c r="O68" i="5"/>
  <c r="M68" i="5"/>
  <c r="L68" i="5"/>
  <c r="K68" i="5"/>
  <c r="J68" i="5"/>
  <c r="I68" i="5"/>
  <c r="H68" i="5"/>
  <c r="G68" i="5"/>
  <c r="F68" i="5"/>
  <c r="E68" i="5"/>
  <c r="D68" i="5"/>
  <c r="C68" i="5"/>
  <c r="B68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Z42" i="5"/>
  <c r="Y42" i="5"/>
  <c r="X42" i="5"/>
  <c r="W42" i="5"/>
  <c r="V42" i="5"/>
  <c r="U42" i="5"/>
  <c r="T42" i="5"/>
  <c r="S42" i="5"/>
  <c r="R42" i="5"/>
  <c r="Q42" i="5"/>
  <c r="P42" i="5"/>
  <c r="O42" i="5"/>
  <c r="M42" i="5"/>
  <c r="L42" i="5"/>
  <c r="K42" i="5"/>
  <c r="J42" i="5"/>
  <c r="I42" i="5"/>
  <c r="H42" i="5"/>
  <c r="G42" i="5"/>
  <c r="F42" i="5"/>
  <c r="E42" i="5"/>
  <c r="D42" i="5"/>
  <c r="C42" i="5"/>
  <c r="B42" i="5"/>
  <c r="AZ42" i="4"/>
  <c r="AZ43" i="4"/>
  <c r="AZ41" i="4"/>
  <c r="AY42" i="4"/>
  <c r="AY43" i="4"/>
  <c r="AY44" i="4"/>
  <c r="AY45" i="4"/>
  <c r="AY41" i="4"/>
  <c r="AX42" i="4"/>
  <c r="AX43" i="4"/>
  <c r="AX44" i="4"/>
  <c r="AX45" i="4"/>
  <c r="AX46" i="4"/>
  <c r="AX41" i="4"/>
  <c r="AW42" i="4"/>
  <c r="AW43" i="4"/>
  <c r="AW44" i="4"/>
  <c r="AW45" i="4"/>
  <c r="AW46" i="4"/>
  <c r="AW41" i="4"/>
  <c r="AV42" i="4"/>
  <c r="AV43" i="4"/>
  <c r="AV44" i="4"/>
  <c r="AV45" i="4"/>
  <c r="AV46" i="4"/>
  <c r="AV47" i="4"/>
  <c r="AV48" i="4"/>
  <c r="AV41" i="4"/>
  <c r="AU42" i="4"/>
  <c r="AU43" i="4"/>
  <c r="AU44" i="4"/>
  <c r="AU45" i="4"/>
  <c r="AU46" i="4"/>
  <c r="AU41" i="4"/>
  <c r="AT42" i="4"/>
  <c r="AT43" i="4"/>
  <c r="AT44" i="4"/>
  <c r="AT45" i="4"/>
  <c r="AT46" i="4"/>
  <c r="AT41" i="4"/>
  <c r="AS42" i="4"/>
  <c r="AS43" i="4"/>
  <c r="AS44" i="4"/>
  <c r="AS41" i="4"/>
  <c r="AR42" i="4"/>
  <c r="AR43" i="4"/>
  <c r="AR44" i="4"/>
  <c r="AR41" i="4"/>
  <c r="AQ42" i="4"/>
  <c r="AQ43" i="4"/>
  <c r="AQ44" i="4"/>
  <c r="AQ41" i="4"/>
  <c r="AP42" i="4"/>
  <c r="AP43" i="4"/>
  <c r="AP44" i="4"/>
  <c r="AP41" i="4"/>
  <c r="AO42" i="4"/>
  <c r="AO43" i="4"/>
  <c r="AO44" i="4"/>
  <c r="AO41" i="4"/>
  <c r="AM42" i="4"/>
  <c r="AM43" i="4"/>
  <c r="AM41" i="4"/>
  <c r="AL42" i="4"/>
  <c r="AL43" i="4"/>
  <c r="AL41" i="4"/>
  <c r="AK42" i="4"/>
  <c r="AK43" i="4"/>
  <c r="AK44" i="4"/>
  <c r="AK45" i="4"/>
  <c r="AK46" i="4"/>
  <c r="AK41" i="4"/>
  <c r="AJ42" i="4"/>
  <c r="AJ43" i="4"/>
  <c r="AJ44" i="4"/>
  <c r="AJ45" i="4"/>
  <c r="AJ41" i="4"/>
  <c r="AI42" i="4"/>
  <c r="AI43" i="4"/>
  <c r="AI44" i="4"/>
  <c r="AI41" i="4"/>
  <c r="AH42" i="4"/>
  <c r="AH43" i="4"/>
  <c r="AH41" i="4"/>
  <c r="AG42" i="4"/>
  <c r="AG43" i="4"/>
  <c r="AG41" i="4"/>
  <c r="AF42" i="4"/>
  <c r="AF41" i="4"/>
  <c r="AE42" i="4"/>
  <c r="AE43" i="4"/>
  <c r="AE41" i="4"/>
  <c r="AD42" i="4"/>
  <c r="AD41" i="4"/>
  <c r="AC42" i="4"/>
  <c r="AC41" i="4"/>
  <c r="AB42" i="4"/>
  <c r="AB41" i="4"/>
  <c r="Z42" i="4"/>
  <c r="Z43" i="4"/>
  <c r="Z44" i="4"/>
  <c r="Z41" i="4"/>
  <c r="Y42" i="4"/>
  <c r="Y43" i="4"/>
  <c r="Y44" i="4"/>
  <c r="Y45" i="4"/>
  <c r="Y46" i="4"/>
  <c r="Y41" i="4"/>
  <c r="X42" i="4"/>
  <c r="X43" i="4"/>
  <c r="X44" i="4"/>
  <c r="X45" i="4"/>
  <c r="X46" i="4"/>
  <c r="X47" i="4"/>
  <c r="X41" i="4"/>
  <c r="W42" i="4"/>
  <c r="W43" i="4"/>
  <c r="W44" i="4"/>
  <c r="W45" i="4"/>
  <c r="W46" i="4"/>
  <c r="W47" i="4"/>
  <c r="W48" i="4"/>
  <c r="W49" i="4"/>
  <c r="W50" i="4"/>
  <c r="W41" i="4"/>
  <c r="V42" i="4"/>
  <c r="V43" i="4"/>
  <c r="V44" i="4"/>
  <c r="V41" i="4"/>
  <c r="U42" i="4"/>
  <c r="U43" i="4"/>
  <c r="U44" i="4"/>
  <c r="U45" i="4"/>
  <c r="U46" i="4"/>
  <c r="U47" i="4"/>
  <c r="U41" i="4"/>
  <c r="T42" i="4"/>
  <c r="T43" i="4"/>
  <c r="T44" i="4"/>
  <c r="T45" i="4"/>
  <c r="T46" i="4"/>
  <c r="T47" i="4"/>
  <c r="T48" i="4"/>
  <c r="T41" i="4"/>
  <c r="S42" i="4"/>
  <c r="S43" i="4"/>
  <c r="S44" i="4"/>
  <c r="S45" i="4"/>
  <c r="S46" i="4"/>
  <c r="S47" i="4"/>
  <c r="S41" i="4"/>
  <c r="R42" i="4"/>
  <c r="R43" i="4"/>
  <c r="R44" i="4"/>
  <c r="R45" i="4"/>
  <c r="R46" i="4"/>
  <c r="R47" i="4"/>
  <c r="R41" i="4"/>
  <c r="Q42" i="4"/>
  <c r="Q43" i="4"/>
  <c r="Q44" i="4"/>
  <c r="Q45" i="4"/>
  <c r="Q46" i="4"/>
  <c r="Q41" i="4"/>
  <c r="P42" i="4"/>
  <c r="P43" i="4"/>
  <c r="P44" i="4"/>
  <c r="P45" i="4"/>
  <c r="P46" i="4"/>
  <c r="P47" i="4"/>
  <c r="P48" i="4"/>
  <c r="P49" i="4"/>
  <c r="P41" i="4"/>
  <c r="O42" i="4"/>
  <c r="O43" i="4"/>
  <c r="O44" i="4"/>
  <c r="O41" i="4"/>
  <c r="M42" i="4"/>
  <c r="M43" i="4"/>
  <c r="M44" i="4"/>
  <c r="M45" i="4"/>
  <c r="M46" i="4"/>
  <c r="M41" i="4"/>
  <c r="L42" i="4"/>
  <c r="L43" i="4"/>
  <c r="L41" i="4"/>
  <c r="K42" i="4"/>
  <c r="K43" i="4"/>
  <c r="K44" i="4"/>
  <c r="K45" i="4"/>
  <c r="K46" i="4"/>
  <c r="K47" i="4"/>
  <c r="K41" i="4"/>
  <c r="J42" i="4"/>
  <c r="J43" i="4"/>
  <c r="J44" i="4"/>
  <c r="J45" i="4"/>
  <c r="J46" i="4"/>
  <c r="J47" i="4"/>
  <c r="J41" i="4"/>
  <c r="I42" i="4"/>
  <c r="I43" i="4"/>
  <c r="I44" i="4"/>
  <c r="I45" i="4"/>
  <c r="I46" i="4"/>
  <c r="I47" i="4"/>
  <c r="I48" i="4"/>
  <c r="I49" i="4"/>
  <c r="I50" i="4"/>
  <c r="I41" i="4"/>
  <c r="H42" i="4"/>
  <c r="H43" i="4"/>
  <c r="H44" i="4"/>
  <c r="H45" i="4"/>
  <c r="H46" i="4"/>
  <c r="H47" i="4"/>
  <c r="H41" i="4"/>
  <c r="G42" i="4"/>
  <c r="G43" i="4"/>
  <c r="G44" i="4"/>
  <c r="G45" i="4"/>
  <c r="G46" i="4"/>
  <c r="G47" i="4"/>
  <c r="G41" i="4"/>
  <c r="F42" i="4"/>
  <c r="F43" i="4"/>
  <c r="F44" i="4"/>
  <c r="F45" i="4"/>
  <c r="F41" i="4"/>
  <c r="E42" i="4"/>
  <c r="E43" i="4"/>
  <c r="E44" i="4"/>
  <c r="E41" i="4"/>
  <c r="D42" i="4"/>
  <c r="D43" i="4"/>
  <c r="D44" i="4"/>
  <c r="D41" i="4"/>
  <c r="C42" i="4"/>
  <c r="C43" i="4"/>
  <c r="C44" i="4"/>
  <c r="C45" i="4"/>
  <c r="C46" i="4"/>
  <c r="C41" i="4"/>
  <c r="B42" i="4"/>
  <c r="B43" i="4"/>
  <c r="B44" i="4"/>
  <c r="B45" i="4"/>
  <c r="B46" i="4"/>
  <c r="B41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Z60" i="4"/>
  <c r="Y60" i="4"/>
  <c r="X60" i="4"/>
  <c r="W60" i="4"/>
  <c r="V60" i="4"/>
  <c r="U60" i="4"/>
  <c r="T60" i="4"/>
  <c r="S60" i="4"/>
  <c r="R60" i="4"/>
  <c r="Q60" i="4"/>
  <c r="P60" i="4"/>
  <c r="O60" i="4"/>
  <c r="M60" i="4"/>
  <c r="L60" i="4"/>
  <c r="K60" i="4"/>
  <c r="J60" i="4"/>
  <c r="I60" i="4"/>
  <c r="H60" i="4"/>
  <c r="G60" i="4"/>
  <c r="F60" i="4"/>
  <c r="E60" i="4"/>
  <c r="D60" i="4"/>
  <c r="C60" i="4"/>
  <c r="B60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Z59" i="4"/>
  <c r="Y59" i="4"/>
  <c r="X59" i="4"/>
  <c r="W59" i="4"/>
  <c r="V59" i="4"/>
  <c r="U59" i="4"/>
  <c r="T59" i="4"/>
  <c r="S59" i="4"/>
  <c r="R59" i="4"/>
  <c r="Q59" i="4"/>
  <c r="P59" i="4"/>
  <c r="O59" i="4"/>
  <c r="M59" i="4"/>
  <c r="L59" i="4"/>
  <c r="K59" i="4"/>
  <c r="J59" i="4"/>
  <c r="I59" i="4"/>
  <c r="H59" i="4"/>
  <c r="G59" i="4"/>
  <c r="F59" i="4"/>
  <c r="E59" i="4"/>
  <c r="D59" i="4"/>
  <c r="C59" i="4"/>
  <c r="B59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Z37" i="4"/>
  <c r="Y37" i="4"/>
  <c r="X37" i="4"/>
  <c r="W37" i="4"/>
  <c r="V37" i="4"/>
  <c r="U37" i="4"/>
  <c r="T37" i="4"/>
  <c r="S37" i="4"/>
  <c r="R37" i="4"/>
  <c r="Q37" i="4"/>
  <c r="P37" i="4"/>
  <c r="O37" i="4"/>
  <c r="M37" i="4"/>
  <c r="L37" i="4"/>
  <c r="K37" i="4"/>
  <c r="J37" i="4"/>
  <c r="I37" i="4"/>
  <c r="H37" i="4"/>
  <c r="G37" i="4"/>
  <c r="F37" i="4"/>
  <c r="E37" i="4"/>
  <c r="D37" i="4"/>
  <c r="C37" i="4"/>
  <c r="B37" i="4"/>
  <c r="C54" i="1"/>
  <c r="D54" i="1"/>
  <c r="E54" i="1"/>
  <c r="F54" i="1"/>
  <c r="G54" i="1"/>
  <c r="H54" i="1"/>
  <c r="I54" i="1"/>
  <c r="J54" i="1"/>
  <c r="K54" i="1"/>
  <c r="L54" i="1"/>
  <c r="M54" i="1"/>
  <c r="O54" i="1"/>
  <c r="P54" i="1"/>
  <c r="Q54" i="1"/>
  <c r="R54" i="1"/>
  <c r="S54" i="1"/>
  <c r="T54" i="1"/>
  <c r="U54" i="1"/>
  <c r="V54" i="1"/>
  <c r="W54" i="1"/>
  <c r="X54" i="1"/>
  <c r="Y54" i="1"/>
  <c r="Z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C55" i="1"/>
  <c r="D55" i="1"/>
  <c r="E55" i="1"/>
  <c r="F55" i="1"/>
  <c r="G55" i="1"/>
  <c r="H55" i="1"/>
  <c r="I55" i="1"/>
  <c r="J55" i="1"/>
  <c r="K55" i="1"/>
  <c r="L55" i="1"/>
  <c r="M55" i="1"/>
  <c r="O55" i="1"/>
  <c r="P55" i="1"/>
  <c r="Q55" i="1"/>
  <c r="R55" i="1"/>
  <c r="S55" i="1"/>
  <c r="T55" i="1"/>
  <c r="U55" i="1"/>
  <c r="V55" i="1"/>
  <c r="W55" i="1"/>
  <c r="X55" i="1"/>
  <c r="Y55" i="1"/>
  <c r="Z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AZ40" i="1"/>
  <c r="AZ41" i="1"/>
  <c r="AZ39" i="1"/>
  <c r="AY40" i="1"/>
  <c r="AY41" i="1"/>
  <c r="AY42" i="1"/>
  <c r="AY39" i="1"/>
  <c r="AX40" i="1"/>
  <c r="AX41" i="1"/>
  <c r="AX42" i="1"/>
  <c r="AX39" i="1"/>
  <c r="AW40" i="1"/>
  <c r="AW41" i="1"/>
  <c r="AW42" i="1"/>
  <c r="AW43" i="1"/>
  <c r="AW44" i="1"/>
  <c r="AW45" i="1"/>
  <c r="AW39" i="1"/>
  <c r="AV40" i="1"/>
  <c r="AV41" i="1"/>
  <c r="AV42" i="1"/>
  <c r="AV43" i="1"/>
  <c r="AV44" i="1"/>
  <c r="AV39" i="1"/>
  <c r="AU40" i="1"/>
  <c r="AU41" i="1"/>
  <c r="AU39" i="1"/>
  <c r="AT40" i="1"/>
  <c r="AT41" i="1"/>
  <c r="AT39" i="1"/>
  <c r="AS40" i="1"/>
  <c r="AS41" i="1"/>
  <c r="AS39" i="1"/>
  <c r="AR40" i="1"/>
  <c r="AR41" i="1"/>
  <c r="AR42" i="1"/>
  <c r="AR39" i="1"/>
  <c r="AQ40" i="1"/>
  <c r="AQ41" i="1"/>
  <c r="AQ39" i="1"/>
  <c r="AP40" i="1"/>
  <c r="AP41" i="1"/>
  <c r="AP42" i="1"/>
  <c r="AP43" i="1"/>
  <c r="AP39" i="1"/>
  <c r="AO40" i="1"/>
  <c r="AO41" i="1"/>
  <c r="AO39" i="1"/>
  <c r="AM40" i="1"/>
  <c r="AM39" i="1"/>
  <c r="AL40" i="1"/>
  <c r="AL41" i="1"/>
  <c r="AL39" i="1"/>
  <c r="AK40" i="1"/>
  <c r="AK41" i="1"/>
  <c r="AK39" i="1"/>
  <c r="AJ40" i="1"/>
  <c r="AJ41" i="1"/>
  <c r="AJ42" i="1"/>
  <c r="AJ39" i="1"/>
  <c r="AI40" i="1"/>
  <c r="AI41" i="1"/>
  <c r="AI42" i="1"/>
  <c r="AI43" i="1"/>
  <c r="AI39" i="1"/>
  <c r="AH40" i="1"/>
  <c r="AH41" i="1"/>
  <c r="AH42" i="1"/>
  <c r="AH43" i="1"/>
  <c r="AH39" i="1"/>
  <c r="AG40" i="1"/>
  <c r="AG41" i="1"/>
  <c r="AG42" i="1"/>
  <c r="AG43" i="1"/>
  <c r="AG39" i="1"/>
  <c r="AF40" i="1"/>
  <c r="AF41" i="1"/>
  <c r="AF39" i="1"/>
  <c r="AE40" i="1"/>
  <c r="AE41" i="1"/>
  <c r="AE39" i="1"/>
  <c r="AD40" i="1"/>
  <c r="AD41" i="1"/>
  <c r="AD39" i="1"/>
  <c r="AC40" i="1"/>
  <c r="AC41" i="1"/>
  <c r="AC42" i="1"/>
  <c r="AC39" i="1"/>
  <c r="AB40" i="1"/>
  <c r="AB39" i="1"/>
  <c r="Z40" i="1"/>
  <c r="Z41" i="1"/>
  <c r="Z42" i="1"/>
  <c r="Z43" i="1"/>
  <c r="Z39" i="1"/>
  <c r="Y40" i="1"/>
  <c r="Y41" i="1"/>
  <c r="Y42" i="1"/>
  <c r="Y43" i="1"/>
  <c r="Y44" i="1"/>
  <c r="Y45" i="1"/>
  <c r="Y46" i="1"/>
  <c r="Y39" i="1"/>
  <c r="X40" i="1"/>
  <c r="X41" i="1"/>
  <c r="X42" i="1"/>
  <c r="X43" i="1"/>
  <c r="X39" i="1"/>
  <c r="W40" i="1"/>
  <c r="W41" i="1"/>
  <c r="W42" i="1"/>
  <c r="W43" i="1"/>
  <c r="W39" i="1"/>
  <c r="V40" i="1"/>
  <c r="V41" i="1"/>
  <c r="V42" i="1"/>
  <c r="V43" i="1"/>
  <c r="V39" i="1"/>
  <c r="U40" i="1"/>
  <c r="U41" i="1"/>
  <c r="U42" i="1"/>
  <c r="U43" i="1"/>
  <c r="U44" i="1"/>
  <c r="U45" i="1"/>
  <c r="U46" i="1"/>
  <c r="U47" i="1"/>
  <c r="U39" i="1"/>
  <c r="T40" i="1"/>
  <c r="T41" i="1"/>
  <c r="T42" i="1"/>
  <c r="T43" i="1"/>
  <c r="T44" i="1"/>
  <c r="T39" i="1"/>
  <c r="S40" i="1"/>
  <c r="S41" i="1"/>
  <c r="S42" i="1"/>
  <c r="S43" i="1"/>
  <c r="S44" i="1"/>
  <c r="S39" i="1"/>
  <c r="R40" i="1"/>
  <c r="R41" i="1"/>
  <c r="R42" i="1"/>
  <c r="R39" i="1"/>
  <c r="Q40" i="1"/>
  <c r="Q41" i="1"/>
  <c r="Q42" i="1"/>
  <c r="Q39" i="1"/>
  <c r="P40" i="1"/>
  <c r="P41" i="1"/>
  <c r="P42" i="1"/>
  <c r="P43" i="1"/>
  <c r="P44" i="1"/>
  <c r="P39" i="1"/>
  <c r="O40" i="1"/>
  <c r="O41" i="1"/>
  <c r="O42" i="1"/>
  <c r="O39" i="1"/>
  <c r="M40" i="1"/>
  <c r="M41" i="1"/>
  <c r="M42" i="1"/>
  <c r="M43" i="1"/>
  <c r="M39" i="1"/>
  <c r="L40" i="1"/>
  <c r="L41" i="1"/>
  <c r="L42" i="1"/>
  <c r="L43" i="1"/>
  <c r="L44" i="1"/>
  <c r="L45" i="1"/>
  <c r="L39" i="1"/>
  <c r="K40" i="1"/>
  <c r="K41" i="1"/>
  <c r="K42" i="1"/>
  <c r="K43" i="1"/>
  <c r="K44" i="1"/>
  <c r="K45" i="1"/>
  <c r="K46" i="1"/>
  <c r="K47" i="1"/>
  <c r="K48" i="1"/>
  <c r="K49" i="1"/>
  <c r="K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9" i="1"/>
  <c r="H40" i="1"/>
  <c r="H41" i="1"/>
  <c r="H42" i="1"/>
  <c r="H43" i="1"/>
  <c r="H44" i="1"/>
  <c r="H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39" i="1"/>
  <c r="F40" i="1"/>
  <c r="F41" i="1"/>
  <c r="F42" i="1"/>
  <c r="F43" i="1"/>
  <c r="F44" i="1"/>
  <c r="F45" i="1"/>
  <c r="F46" i="1"/>
  <c r="F47" i="1"/>
  <c r="F39" i="1"/>
  <c r="E40" i="1"/>
  <c r="E41" i="1"/>
  <c r="E42" i="1"/>
  <c r="E43" i="1"/>
  <c r="E44" i="1"/>
  <c r="E45" i="1"/>
  <c r="E46" i="1"/>
  <c r="E39" i="1"/>
  <c r="D40" i="1"/>
  <c r="D41" i="1"/>
  <c r="D42" i="1"/>
  <c r="D43" i="1"/>
  <c r="D44" i="1"/>
  <c r="D45" i="1"/>
  <c r="D46" i="1"/>
  <c r="D39" i="1"/>
  <c r="C40" i="1"/>
  <c r="C41" i="1"/>
  <c r="C42" i="1"/>
  <c r="C43" i="1"/>
  <c r="C44" i="1"/>
  <c r="C39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40" i="1"/>
  <c r="B41" i="1"/>
  <c r="B42" i="1"/>
  <c r="B43" i="1"/>
  <c r="B44" i="1"/>
  <c r="C35" i="1"/>
  <c r="D35" i="1"/>
  <c r="E35" i="1"/>
  <c r="F35" i="1"/>
  <c r="G35" i="1"/>
  <c r="H35" i="1"/>
  <c r="I35" i="1"/>
  <c r="J35" i="1"/>
  <c r="K35" i="1"/>
  <c r="L35" i="1"/>
  <c r="M35" i="1"/>
  <c r="O35" i="1"/>
  <c r="P35" i="1"/>
  <c r="Q35" i="1"/>
  <c r="R35" i="1"/>
  <c r="S35" i="1"/>
  <c r="T35" i="1"/>
  <c r="U35" i="1"/>
  <c r="V35" i="1"/>
  <c r="W35" i="1"/>
  <c r="X35" i="1"/>
  <c r="Y35" i="1"/>
  <c r="Z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B55" i="1"/>
  <c r="B54" i="1"/>
  <c r="B39" i="1"/>
  <c r="B35" i="1"/>
</calcChain>
</file>

<file path=xl/sharedStrings.xml><?xml version="1.0" encoding="utf-8"?>
<sst xmlns="http://schemas.openxmlformats.org/spreadsheetml/2006/main" count="2665" uniqueCount="163">
  <si>
    <t>wRNAi_GSC</t>
  </si>
  <si>
    <t>wRNAi_region 1</t>
  </si>
  <si>
    <t>wRNAi_2A</t>
  </si>
  <si>
    <t>wRNAi_2B</t>
  </si>
  <si>
    <t>wRNAi_st1-2</t>
  </si>
  <si>
    <t>wRNAi_st3-4</t>
  </si>
  <si>
    <t>wRNAi_st5</t>
  </si>
  <si>
    <t>wRNAi_st6</t>
  </si>
  <si>
    <t>wRNAi_st7</t>
  </si>
  <si>
    <t>wRNAi_st8</t>
  </si>
  <si>
    <t>wRNAi_st9</t>
  </si>
  <si>
    <t>wRNAi_st10</t>
  </si>
  <si>
    <t>AVERAGE</t>
  </si>
  <si>
    <t>STDEV</t>
  </si>
  <si>
    <t>stdev</t>
  </si>
  <si>
    <t>number</t>
  </si>
  <si>
    <t>mean</t>
  </si>
  <si>
    <t>replicate</t>
  </si>
  <si>
    <t>ez</t>
  </si>
  <si>
    <t>w</t>
  </si>
  <si>
    <t>RNAi</t>
  </si>
  <si>
    <t>no hs avg</t>
  </si>
  <si>
    <t>hs_antp</t>
  </si>
  <si>
    <t>nohs_antp</t>
  </si>
  <si>
    <t>w2RNAi_GSC</t>
  </si>
  <si>
    <t>w2RNAi_region 1</t>
  </si>
  <si>
    <t>w2RNAi_2A</t>
  </si>
  <si>
    <t>w2RNAi_2B</t>
  </si>
  <si>
    <t>w2RNAi_st1-2</t>
  </si>
  <si>
    <t>w2RNAi_st3-4</t>
  </si>
  <si>
    <t>w2RNAi_st5</t>
  </si>
  <si>
    <t>w2RNAi_st6</t>
  </si>
  <si>
    <t>w2RNAi_st7</t>
  </si>
  <si>
    <t>w2RNAi_st8</t>
  </si>
  <si>
    <t>w2RNAi_st9</t>
  </si>
  <si>
    <t>w2RNAi_st10</t>
  </si>
  <si>
    <t>scmRNAi2_GSC</t>
  </si>
  <si>
    <t>scmRNAi2_region 1</t>
  </si>
  <si>
    <t>scmRNAi2_2A</t>
  </si>
  <si>
    <t>scmRNAi2_2B</t>
  </si>
  <si>
    <t>scmRNAi2_st1-2</t>
  </si>
  <si>
    <t>scmRNAi2_st3-4</t>
  </si>
  <si>
    <t>scmRNAi2_st5</t>
  </si>
  <si>
    <t>scmRNAi2_st6</t>
  </si>
  <si>
    <t>scmRNAi2_st7</t>
  </si>
  <si>
    <t>scmRNAi2_st8</t>
  </si>
  <si>
    <t>scmRNAi2_st9</t>
  </si>
  <si>
    <t>scmRNAi2_st10</t>
  </si>
  <si>
    <t>ezRNAi2_GSC</t>
  </si>
  <si>
    <t>ezRNAi2_region 1</t>
  </si>
  <si>
    <t>ezRNAi2_2A</t>
  </si>
  <si>
    <t>ezRNAi2_2B</t>
  </si>
  <si>
    <t>ezRNAi2_st1-2</t>
  </si>
  <si>
    <t>ezRNAi2_st3-4</t>
  </si>
  <si>
    <t>ezRNAi2_st5</t>
  </si>
  <si>
    <t>ezRNAi2_st6</t>
  </si>
  <si>
    <t>ezRNAi2_st7</t>
  </si>
  <si>
    <t>ezRNAi2_st8</t>
  </si>
  <si>
    <t>ezRNAi2_st9</t>
  </si>
  <si>
    <t>ezRNAi2_st10</t>
  </si>
  <si>
    <t>scm</t>
  </si>
  <si>
    <t>ezRNAi1_GSC</t>
  </si>
  <si>
    <t>ezRNAi1_region 1</t>
  </si>
  <si>
    <t>ezRNAi1_1A</t>
  </si>
  <si>
    <t>ezRNAi1_1B</t>
  </si>
  <si>
    <t>ezRNAi1_st1-1</t>
  </si>
  <si>
    <t>ezRNAi1_st3-4</t>
  </si>
  <si>
    <t>ezRNAi1_st5</t>
  </si>
  <si>
    <t>ezRNAi1_st6</t>
  </si>
  <si>
    <t>ezRNAi1_st7</t>
  </si>
  <si>
    <t>ezRNAi1_st8</t>
  </si>
  <si>
    <t>ezRNAi1_st9</t>
  </si>
  <si>
    <t>ezRNAi1_st10</t>
  </si>
  <si>
    <t>line</t>
  </si>
  <si>
    <t>antp</t>
  </si>
  <si>
    <t>dak1</t>
  </si>
  <si>
    <t>OR67D</t>
  </si>
  <si>
    <t>rn</t>
  </si>
  <si>
    <t>bxd</t>
  </si>
  <si>
    <t>bab2</t>
  </si>
  <si>
    <t>hs_blimp1_en_3</t>
  </si>
  <si>
    <t>nohs_blimp1_en_3</t>
  </si>
  <si>
    <t>blimp1_en</t>
  </si>
  <si>
    <t>nohs_blimp1</t>
  </si>
  <si>
    <t>hs_blimp1</t>
  </si>
  <si>
    <t>blimp1</t>
  </si>
  <si>
    <t>Ets98B</t>
  </si>
  <si>
    <t>Rbp6</t>
  </si>
  <si>
    <t>e2f</t>
  </si>
  <si>
    <t>stg</t>
  </si>
  <si>
    <t>PcG</t>
  </si>
  <si>
    <t>Active</t>
  </si>
  <si>
    <t>Inactive</t>
  </si>
  <si>
    <t>hs_Tsp68C</t>
  </si>
  <si>
    <t>nohs_Tsp68C</t>
  </si>
  <si>
    <t>average</t>
  </si>
  <si>
    <t>Tsp68C</t>
  </si>
  <si>
    <t>Pb_133</t>
  </si>
  <si>
    <t>hs_klu</t>
  </si>
  <si>
    <t>nohs_klu</t>
  </si>
  <si>
    <t>Klu</t>
  </si>
  <si>
    <t>ME_type</t>
  </si>
  <si>
    <t>hs_bxd</t>
  </si>
  <si>
    <t>nohs_bxd</t>
  </si>
  <si>
    <t>hs_bxd_backgroundsubtract</t>
  </si>
  <si>
    <t>hs_bab2</t>
  </si>
  <si>
    <t>nohs_bab2</t>
  </si>
  <si>
    <t>hs_bab2_backgroundsubtract</t>
  </si>
  <si>
    <t>hs_stg</t>
  </si>
  <si>
    <t>nohs_stg</t>
  </si>
  <si>
    <t>nohs_avg</t>
  </si>
  <si>
    <t>hs_stg_backgroundsubtract</t>
  </si>
  <si>
    <t>hs_e2f</t>
  </si>
  <si>
    <t>nohs_e2f</t>
  </si>
  <si>
    <t>hs_e2f_backgroundsubtract</t>
  </si>
  <si>
    <t>hs_rbp6</t>
  </si>
  <si>
    <t>nohs_rbp6</t>
  </si>
  <si>
    <t>hs_rbp6_backgroundsubtract</t>
  </si>
  <si>
    <t>hs_ets98B</t>
  </si>
  <si>
    <t>nohs_ets98B</t>
  </si>
  <si>
    <t>hs_ets98B_backgroundsubtract</t>
  </si>
  <si>
    <t>hs_blimp1_backgroundsubtract</t>
  </si>
  <si>
    <t>hs_blimp1_en_backgroundsubtract</t>
  </si>
  <si>
    <t>hs_antp_backgroundsubtract</t>
  </si>
  <si>
    <t>hs_OR67D_backgroundsubtract</t>
  </si>
  <si>
    <t>hs_OR67D</t>
  </si>
  <si>
    <t>nohs_OR67D</t>
  </si>
  <si>
    <t>hs_rn_backgroundsubtract</t>
  </si>
  <si>
    <t>hs_rn</t>
  </si>
  <si>
    <t>nohs_rn</t>
  </si>
  <si>
    <t>hs_dak1</t>
  </si>
  <si>
    <t>nohs_dak1</t>
  </si>
  <si>
    <t>hs_dak1_backgroundsubtract</t>
  </si>
  <si>
    <t>hs_Tsp68C_backgroundsubtract</t>
  </si>
  <si>
    <t>hs_Pb_backgroundsubtract</t>
  </si>
  <si>
    <t>nohs_Pb</t>
  </si>
  <si>
    <t>hs_Pb</t>
  </si>
  <si>
    <t>hs_klu_backgroundsubtract</t>
  </si>
  <si>
    <t>wRNAi_all_GSC</t>
  </si>
  <si>
    <t>wRNAi_all_region 1</t>
  </si>
  <si>
    <t>wRNAi_all_2A</t>
  </si>
  <si>
    <t>wRNAi_all_2B</t>
  </si>
  <si>
    <t>wRNAi_all_st1-2</t>
  </si>
  <si>
    <t>wRNAi_all_st3-4</t>
  </si>
  <si>
    <t>wRNAi_all_st5</t>
  </si>
  <si>
    <t>wRNAi_all_st6</t>
  </si>
  <si>
    <t>wRNAi_all_st7</t>
  </si>
  <si>
    <t>wRNAi_all_st8</t>
  </si>
  <si>
    <t>wRNAi_all_st9</t>
  </si>
  <si>
    <t>wRNAi_all_st10</t>
  </si>
  <si>
    <t>wRNAiAll_GSC</t>
  </si>
  <si>
    <t>wRNAiAll_region 1</t>
  </si>
  <si>
    <t>wRNAiAll_2A</t>
  </si>
  <si>
    <t>wRNAiAll_2B</t>
  </si>
  <si>
    <t>wRNAiAll_st1-2</t>
  </si>
  <si>
    <t>wRNAiAll_st3-4</t>
  </si>
  <si>
    <t>wRNAiAll_st5</t>
  </si>
  <si>
    <t>wRNAiAll_st6</t>
  </si>
  <si>
    <t>wRNAiAll_st7</t>
  </si>
  <si>
    <t>wRNAiAll_st8</t>
  </si>
  <si>
    <t>wRNAiAll_st9</t>
  </si>
  <si>
    <t>wRNAiAll_st10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</si>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</sst>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7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/>
    <xf numFmtId="0" fontId="0" fillId="0" borderId="0" xfId="0" applyFill="1"/>
  </cellXfs>
  <cellStyles count="2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5"/>
  <sheetViews>
    <sheetView topLeftCell="A26" zoomScale="75" zoomScaleNormal="75" zoomScalePageLayoutView="75" workbookViewId="0">
      <selection activeCell="B38" sqref="B38:AZ38"/>
    </sheetView>
  </sheetViews>
  <sheetFormatPr baseColWidth="10" defaultRowHeight="15" x14ac:dyDescent="0"/>
  <cols>
    <col min="1" max="1" width="31.83203125" customWidth="1"/>
  </cols>
  <sheetData>
    <row r="1" spans="1:52">
      <c r="A1" t="s">
        <v>102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</row>
    <row r="2" spans="1:52">
      <c r="B2">
        <v>2688</v>
      </c>
      <c r="C2">
        <v>6812.875</v>
      </c>
      <c r="D2">
        <v>2516</v>
      </c>
      <c r="E2">
        <v>2060</v>
      </c>
      <c r="F2">
        <v>3414</v>
      </c>
      <c r="G2">
        <v>4640</v>
      </c>
      <c r="H2">
        <v>6094</v>
      </c>
      <c r="I2">
        <v>6537</v>
      </c>
      <c r="J2">
        <v>5798</v>
      </c>
      <c r="K2">
        <v>3704</v>
      </c>
      <c r="L2">
        <v>1848</v>
      </c>
      <c r="M2">
        <v>1808</v>
      </c>
      <c r="O2">
        <v>2499</v>
      </c>
      <c r="P2">
        <v>4426</v>
      </c>
      <c r="Q2">
        <v>2174</v>
      </c>
      <c r="R2">
        <v>2019</v>
      </c>
      <c r="S2">
        <v>3619</v>
      </c>
      <c r="T2">
        <v>3796</v>
      </c>
      <c r="U2">
        <v>4710</v>
      </c>
      <c r="V2">
        <v>4595</v>
      </c>
      <c r="W2">
        <v>5733</v>
      </c>
      <c r="X2">
        <v>3860</v>
      </c>
      <c r="Y2">
        <v>1730</v>
      </c>
      <c r="Z2">
        <v>2466</v>
      </c>
      <c r="AB2">
        <v>3521.96</v>
      </c>
      <c r="AC2">
        <v>5305.0829999999996</v>
      </c>
      <c r="AD2">
        <v>3251.5709999999999</v>
      </c>
      <c r="AE2">
        <v>3094.4789999999998</v>
      </c>
      <c r="AF2">
        <v>2674.029</v>
      </c>
      <c r="AG2">
        <v>5751.7049999999999</v>
      </c>
      <c r="AH2">
        <v>8419.2839999999997</v>
      </c>
      <c r="AI2">
        <v>10689.169</v>
      </c>
      <c r="AJ2">
        <v>9600.9120000000003</v>
      </c>
      <c r="AK2">
        <v>12672.269</v>
      </c>
      <c r="AL2">
        <v>15531.637000000001</v>
      </c>
      <c r="AM2">
        <v>13262.531999999999</v>
      </c>
      <c r="AO2">
        <v>2535</v>
      </c>
      <c r="AP2">
        <v>5205</v>
      </c>
      <c r="AQ2">
        <v>1170</v>
      </c>
      <c r="AR2">
        <v>1972</v>
      </c>
      <c r="AS2">
        <v>2420</v>
      </c>
      <c r="AT2">
        <v>3873</v>
      </c>
      <c r="AU2">
        <v>4419</v>
      </c>
      <c r="AV2">
        <v>7319</v>
      </c>
      <c r="AW2">
        <v>6189</v>
      </c>
      <c r="AX2">
        <v>6755</v>
      </c>
      <c r="AY2">
        <v>6723</v>
      </c>
      <c r="AZ2">
        <v>6887</v>
      </c>
    </row>
    <row r="3" spans="1:52">
      <c r="B3">
        <v>2084</v>
      </c>
      <c r="C3">
        <v>4742.875</v>
      </c>
      <c r="D3">
        <v>1761</v>
      </c>
      <c r="E3">
        <v>2384</v>
      </c>
      <c r="F3">
        <v>3066</v>
      </c>
      <c r="G3">
        <v>3822</v>
      </c>
      <c r="H3">
        <v>5797</v>
      </c>
      <c r="I3">
        <v>4021</v>
      </c>
      <c r="J3">
        <v>5558</v>
      </c>
      <c r="K3">
        <v>4223</v>
      </c>
      <c r="L3">
        <v>2555</v>
      </c>
      <c r="M3">
        <v>992</v>
      </c>
      <c r="O3">
        <v>1996</v>
      </c>
      <c r="P3">
        <v>5203</v>
      </c>
      <c r="Q3">
        <v>2097</v>
      </c>
      <c r="R3">
        <v>1976</v>
      </c>
      <c r="S3">
        <v>3314</v>
      </c>
      <c r="T3">
        <v>5043</v>
      </c>
      <c r="U3">
        <v>6042</v>
      </c>
      <c r="V3">
        <v>6018</v>
      </c>
      <c r="W3">
        <v>5065</v>
      </c>
      <c r="X3">
        <v>3458</v>
      </c>
      <c r="Y3">
        <v>1897</v>
      </c>
      <c r="Z3">
        <v>2092</v>
      </c>
      <c r="AB3">
        <v>2890.645</v>
      </c>
      <c r="AC3">
        <v>4213.21</v>
      </c>
      <c r="AD3">
        <v>2166.306</v>
      </c>
      <c r="AE3">
        <v>2897.1559999999999</v>
      </c>
      <c r="AF3">
        <v>5441.6469999999999</v>
      </c>
      <c r="AG3">
        <v>6604.1329999999998</v>
      </c>
      <c r="AH3">
        <v>6113.5919999999996</v>
      </c>
      <c r="AI3">
        <v>11308.433000000001</v>
      </c>
      <c r="AJ3">
        <v>10723.708000000001</v>
      </c>
      <c r="AK3">
        <v>11750.492</v>
      </c>
      <c r="AL3">
        <v>15821.288</v>
      </c>
      <c r="AM3">
        <v>14378.358</v>
      </c>
      <c r="AO3">
        <v>1758</v>
      </c>
      <c r="AP3">
        <v>3384</v>
      </c>
      <c r="AQ3">
        <v>1533</v>
      </c>
      <c r="AR3">
        <v>2372</v>
      </c>
      <c r="AS3">
        <v>2746</v>
      </c>
      <c r="AT3">
        <v>4460</v>
      </c>
      <c r="AU3">
        <v>6021</v>
      </c>
      <c r="AV3">
        <v>7190</v>
      </c>
      <c r="AW3">
        <v>6252</v>
      </c>
      <c r="AX3">
        <v>6951</v>
      </c>
      <c r="AY3">
        <v>6663</v>
      </c>
      <c r="AZ3">
        <v>3829</v>
      </c>
    </row>
    <row r="4" spans="1:52">
      <c r="B4">
        <v>2528</v>
      </c>
      <c r="C4">
        <v>5040.9620000000004</v>
      </c>
      <c r="D4">
        <v>2081</v>
      </c>
      <c r="E4">
        <v>1663</v>
      </c>
      <c r="F4">
        <v>2826</v>
      </c>
      <c r="G4">
        <v>4397</v>
      </c>
      <c r="H4">
        <v>6187</v>
      </c>
      <c r="I4">
        <v>5984</v>
      </c>
      <c r="J4">
        <v>3566</v>
      </c>
      <c r="K4">
        <v>3407</v>
      </c>
      <c r="L4">
        <v>1664</v>
      </c>
      <c r="M4">
        <v>1641</v>
      </c>
      <c r="O4">
        <v>3675</v>
      </c>
      <c r="P4">
        <v>3065</v>
      </c>
      <c r="Q4">
        <v>1210</v>
      </c>
      <c r="R4">
        <v>2251</v>
      </c>
      <c r="S4">
        <v>2985</v>
      </c>
      <c r="T4">
        <v>3656</v>
      </c>
      <c r="U4">
        <v>3941</v>
      </c>
      <c r="V4">
        <v>5116</v>
      </c>
      <c r="W4">
        <v>4457</v>
      </c>
      <c r="X4">
        <v>2759</v>
      </c>
      <c r="Y4">
        <v>2353</v>
      </c>
      <c r="Z4">
        <v>2192</v>
      </c>
      <c r="AB4">
        <v>3140.5</v>
      </c>
      <c r="AC4">
        <v>6311.4049999999997</v>
      </c>
      <c r="AD4">
        <v>2230.335</v>
      </c>
      <c r="AE4">
        <v>2871.86</v>
      </c>
      <c r="AF4">
        <v>5486.7550000000001</v>
      </c>
      <c r="AG4">
        <v>6577.1260000000002</v>
      </c>
      <c r="AH4">
        <v>8281.3649999999998</v>
      </c>
      <c r="AI4">
        <v>11438.495999999999</v>
      </c>
      <c r="AJ4">
        <v>12485.46</v>
      </c>
      <c r="AK4">
        <v>10963.968999999999</v>
      </c>
      <c r="AL4">
        <v>16358.934999999999</v>
      </c>
      <c r="AM4">
        <v>11894.501</v>
      </c>
      <c r="AO4">
        <v>1533</v>
      </c>
      <c r="AP4">
        <v>3558</v>
      </c>
      <c r="AQ4">
        <v>908</v>
      </c>
      <c r="AR4">
        <v>1753</v>
      </c>
      <c r="AS4">
        <v>2460</v>
      </c>
      <c r="AT4">
        <v>3705</v>
      </c>
      <c r="AU4">
        <v>4526</v>
      </c>
      <c r="AV4">
        <v>6917</v>
      </c>
      <c r="AW4">
        <v>4915</v>
      </c>
      <c r="AX4">
        <v>5279</v>
      </c>
      <c r="AY4">
        <v>4717</v>
      </c>
      <c r="AZ4">
        <v>4770</v>
      </c>
    </row>
    <row r="5" spans="1:52">
      <c r="B5">
        <v>2132</v>
      </c>
      <c r="C5">
        <v>5692.1689999999999</v>
      </c>
      <c r="D5">
        <v>1654</v>
      </c>
      <c r="E5">
        <v>2119</v>
      </c>
      <c r="F5">
        <v>2387</v>
      </c>
      <c r="G5">
        <v>3237</v>
      </c>
      <c r="H5">
        <v>5089</v>
      </c>
      <c r="I5">
        <v>5921</v>
      </c>
      <c r="J5">
        <v>6237</v>
      </c>
      <c r="K5">
        <v>3488</v>
      </c>
      <c r="L5">
        <v>1771</v>
      </c>
      <c r="M5">
        <v>691</v>
      </c>
      <c r="O5">
        <v>2351</v>
      </c>
      <c r="P5">
        <v>3300</v>
      </c>
      <c r="Q5">
        <v>1293</v>
      </c>
      <c r="R5">
        <v>2211</v>
      </c>
      <c r="S5">
        <v>3811</v>
      </c>
      <c r="T5">
        <v>5705</v>
      </c>
      <c r="U5">
        <v>4729</v>
      </c>
      <c r="V5">
        <v>3771</v>
      </c>
      <c r="W5">
        <v>4747</v>
      </c>
      <c r="X5">
        <v>2925</v>
      </c>
      <c r="Y5">
        <v>1584</v>
      </c>
      <c r="Z5">
        <v>2617</v>
      </c>
      <c r="AC5">
        <v>4543.07</v>
      </c>
      <c r="AD5">
        <v>3195.4140000000002</v>
      </c>
      <c r="AE5">
        <v>2186.4609999999998</v>
      </c>
      <c r="AF5">
        <v>3067.192</v>
      </c>
      <c r="AG5">
        <v>6339.2049999999999</v>
      </c>
      <c r="AH5">
        <v>9247.3700000000008</v>
      </c>
      <c r="AI5">
        <v>12972.467000000001</v>
      </c>
      <c r="AJ5">
        <v>10952.83</v>
      </c>
      <c r="AK5">
        <v>11655.448</v>
      </c>
      <c r="AL5">
        <v>15997.898999999999</v>
      </c>
      <c r="AM5">
        <v>14527.681</v>
      </c>
      <c r="AO5">
        <v>2356</v>
      </c>
      <c r="AP5">
        <v>3940</v>
      </c>
      <c r="AQ5">
        <v>1520</v>
      </c>
      <c r="AR5">
        <v>2014</v>
      </c>
      <c r="AS5">
        <v>2759</v>
      </c>
      <c r="AT5">
        <v>3948</v>
      </c>
      <c r="AU5">
        <v>4992</v>
      </c>
      <c r="AV5">
        <v>6455</v>
      </c>
      <c r="AX5">
        <v>5729</v>
      </c>
      <c r="AY5">
        <v>3268</v>
      </c>
      <c r="AZ5">
        <v>4753</v>
      </c>
    </row>
    <row r="6" spans="1:52">
      <c r="B6">
        <v>2703.598</v>
      </c>
      <c r="C6">
        <v>4711.8549999999996</v>
      </c>
      <c r="D6">
        <v>1388</v>
      </c>
      <c r="E6">
        <v>2292</v>
      </c>
      <c r="F6">
        <v>3129</v>
      </c>
      <c r="G6">
        <v>3320</v>
      </c>
      <c r="H6">
        <v>6371</v>
      </c>
      <c r="I6">
        <v>5605</v>
      </c>
      <c r="J6">
        <v>6406</v>
      </c>
      <c r="K6">
        <v>2880</v>
      </c>
      <c r="L6">
        <v>2269</v>
      </c>
      <c r="M6">
        <v>1495</v>
      </c>
      <c r="O6">
        <v>2822</v>
      </c>
      <c r="P6">
        <v>3729</v>
      </c>
      <c r="Q6">
        <v>1386</v>
      </c>
      <c r="R6">
        <v>1810</v>
      </c>
      <c r="S6">
        <v>3141</v>
      </c>
      <c r="T6">
        <v>3114</v>
      </c>
      <c r="U6">
        <v>3887</v>
      </c>
      <c r="W6">
        <v>2669</v>
      </c>
      <c r="X6">
        <v>4489</v>
      </c>
      <c r="Y6">
        <v>1866</v>
      </c>
      <c r="Z6">
        <v>1404</v>
      </c>
      <c r="AC6">
        <v>5032.5789999999997</v>
      </c>
      <c r="AD6">
        <v>3355.4180000000001</v>
      </c>
      <c r="AE6">
        <v>2202.2399999999998</v>
      </c>
      <c r="AF6">
        <v>4532.5649999999996</v>
      </c>
      <c r="AG6">
        <v>5556.8789999999999</v>
      </c>
      <c r="AH6">
        <v>6748.5519999999997</v>
      </c>
      <c r="AI6">
        <v>8846.723</v>
      </c>
      <c r="AJ6">
        <v>10884.825000000001</v>
      </c>
      <c r="AK6">
        <v>13887.191000000001</v>
      </c>
      <c r="AL6">
        <v>15849.909</v>
      </c>
      <c r="AX6">
        <v>5077</v>
      </c>
      <c r="AY6">
        <v>6421</v>
      </c>
      <c r="AZ6">
        <v>6543</v>
      </c>
    </row>
    <row r="7" spans="1:52">
      <c r="B7">
        <v>2523.808</v>
      </c>
      <c r="C7">
        <v>6881.7569999999996</v>
      </c>
      <c r="D7">
        <v>1894</v>
      </c>
      <c r="F7">
        <v>2599</v>
      </c>
      <c r="H7">
        <v>5914</v>
      </c>
      <c r="I7">
        <v>7702</v>
      </c>
      <c r="J7">
        <v>5704</v>
      </c>
      <c r="K7">
        <v>3758</v>
      </c>
      <c r="L7">
        <v>2388</v>
      </c>
      <c r="Q7">
        <v>1628</v>
      </c>
      <c r="U7">
        <v>3132</v>
      </c>
      <c r="W7">
        <v>3358</v>
      </c>
      <c r="X7">
        <v>2442</v>
      </c>
      <c r="Y7">
        <v>1691</v>
      </c>
      <c r="Z7">
        <v>1549</v>
      </c>
      <c r="AC7">
        <v>6088.9639999999999</v>
      </c>
      <c r="AD7">
        <v>2205.6559999999999</v>
      </c>
      <c r="AE7">
        <v>3139.2860000000001</v>
      </c>
      <c r="AF7">
        <v>3673.7469999999998</v>
      </c>
      <c r="AG7">
        <v>7269.1139999999996</v>
      </c>
      <c r="AH7">
        <v>9405.65</v>
      </c>
      <c r="AI7">
        <v>12013.831</v>
      </c>
      <c r="AJ7">
        <v>10625.413</v>
      </c>
      <c r="AK7">
        <v>13176.731</v>
      </c>
      <c r="AL7">
        <v>13039.701999999999</v>
      </c>
      <c r="AY7">
        <v>5913</v>
      </c>
    </row>
    <row r="8" spans="1:52">
      <c r="B8">
        <v>3078.355</v>
      </c>
      <c r="C8">
        <v>3518.1030000000001</v>
      </c>
      <c r="F8">
        <v>2045</v>
      </c>
      <c r="H8">
        <v>6365</v>
      </c>
      <c r="J8">
        <v>4634</v>
      </c>
      <c r="L8">
        <v>1880</v>
      </c>
      <c r="X8">
        <v>2678</v>
      </c>
      <c r="Z8">
        <v>1592</v>
      </c>
      <c r="AD8">
        <v>2048.1610000000001</v>
      </c>
      <c r="AF8">
        <v>5614.7079999999996</v>
      </c>
      <c r="AG8">
        <v>5642.1350000000002</v>
      </c>
      <c r="AH8">
        <v>10583.654</v>
      </c>
      <c r="AI8">
        <v>10081.75</v>
      </c>
      <c r="AJ8">
        <v>9837.0470000000005</v>
      </c>
      <c r="AK8">
        <v>13220.302</v>
      </c>
      <c r="AL8">
        <v>13525.816999999999</v>
      </c>
    </row>
    <row r="9" spans="1:52">
      <c r="B9">
        <v>2472.96</v>
      </c>
      <c r="F9">
        <v>2710</v>
      </c>
      <c r="H9">
        <v>5709</v>
      </c>
      <c r="J9">
        <v>6500</v>
      </c>
      <c r="L9">
        <v>1656</v>
      </c>
      <c r="X9">
        <v>2241</v>
      </c>
      <c r="Z9">
        <v>2330</v>
      </c>
      <c r="AD9">
        <v>3261.8330000000001</v>
      </c>
      <c r="AG9">
        <v>6976.2690000000002</v>
      </c>
      <c r="AH9">
        <v>8518.616</v>
      </c>
      <c r="AI9">
        <v>11655.3</v>
      </c>
      <c r="AJ9">
        <v>8920.26</v>
      </c>
      <c r="AK9">
        <v>13276.824000000001</v>
      </c>
      <c r="AL9">
        <v>15590.673000000001</v>
      </c>
    </row>
    <row r="10" spans="1:52">
      <c r="F10">
        <v>2555</v>
      </c>
      <c r="J10">
        <v>5494</v>
      </c>
      <c r="L10">
        <v>3643</v>
      </c>
      <c r="X10">
        <v>2859</v>
      </c>
      <c r="AG10">
        <v>7180.1930000000002</v>
      </c>
      <c r="AH10">
        <v>9063.2530000000006</v>
      </c>
      <c r="AI10">
        <v>11644.73</v>
      </c>
      <c r="AK10">
        <v>10919.564</v>
      </c>
    </row>
    <row r="11" spans="1:52">
      <c r="J11">
        <v>6083</v>
      </c>
      <c r="L11">
        <v>3314</v>
      </c>
      <c r="X11">
        <v>2356</v>
      </c>
      <c r="AG11">
        <v>6110.7389999999996</v>
      </c>
      <c r="AH11">
        <v>6198.2650000000003</v>
      </c>
      <c r="AI11">
        <v>9107.3080000000009</v>
      </c>
    </row>
    <row r="12" spans="1:52">
      <c r="J12">
        <v>5461</v>
      </c>
      <c r="L12">
        <v>1510</v>
      </c>
      <c r="AH12">
        <v>7620.4650000000001</v>
      </c>
      <c r="AI12">
        <v>8448.6290000000008</v>
      </c>
    </row>
    <row r="13" spans="1:52">
      <c r="J13">
        <v>3057</v>
      </c>
      <c r="L13">
        <v>2469</v>
      </c>
      <c r="AH13">
        <v>6674.2430000000004</v>
      </c>
      <c r="AI13">
        <v>9518.8289999999997</v>
      </c>
    </row>
    <row r="14" spans="1:52">
      <c r="L14">
        <v>1955</v>
      </c>
    </row>
    <row r="15" spans="1:52">
      <c r="L15">
        <v>2737</v>
      </c>
    </row>
    <row r="21" spans="1:52">
      <c r="A21" t="s">
        <v>103</v>
      </c>
      <c r="B21">
        <v>170</v>
      </c>
      <c r="C21">
        <v>210</v>
      </c>
      <c r="D21">
        <v>236</v>
      </c>
      <c r="E21">
        <v>554</v>
      </c>
      <c r="F21">
        <v>865</v>
      </c>
      <c r="G21">
        <v>900</v>
      </c>
      <c r="H21">
        <v>735</v>
      </c>
      <c r="I21">
        <v>694</v>
      </c>
      <c r="J21">
        <v>668</v>
      </c>
      <c r="K21">
        <v>775</v>
      </c>
      <c r="L21">
        <v>721</v>
      </c>
      <c r="M21">
        <v>434</v>
      </c>
      <c r="O21">
        <v>152</v>
      </c>
      <c r="P21">
        <v>148</v>
      </c>
      <c r="Q21">
        <v>166</v>
      </c>
      <c r="R21">
        <v>327</v>
      </c>
      <c r="S21">
        <v>646</v>
      </c>
      <c r="T21">
        <v>1580</v>
      </c>
      <c r="U21">
        <v>1324</v>
      </c>
      <c r="V21">
        <v>2289</v>
      </c>
      <c r="W21">
        <v>2041</v>
      </c>
      <c r="X21">
        <v>1583</v>
      </c>
      <c r="Y21">
        <v>1472</v>
      </c>
      <c r="Z21">
        <v>942</v>
      </c>
      <c r="AB21">
        <v>236.44499999999999</v>
      </c>
      <c r="AC21">
        <v>347.16300000000001</v>
      </c>
      <c r="AD21">
        <v>398.72399999999999</v>
      </c>
      <c r="AE21">
        <v>288.39499999999998</v>
      </c>
      <c r="AF21">
        <v>759.99800000000005</v>
      </c>
      <c r="AG21">
        <v>1868.492</v>
      </c>
      <c r="AH21">
        <v>2782.0329999999999</v>
      </c>
      <c r="AI21">
        <v>3645.2310000000002</v>
      </c>
      <c r="AJ21">
        <v>4627.607</v>
      </c>
      <c r="AK21">
        <v>4579.41</v>
      </c>
      <c r="AL21">
        <v>6553.1139999999996</v>
      </c>
      <c r="AM21">
        <v>5811.0119999999997</v>
      </c>
      <c r="AO21">
        <v>131</v>
      </c>
      <c r="AP21">
        <v>138</v>
      </c>
      <c r="AQ21">
        <v>217</v>
      </c>
      <c r="AR21">
        <v>330</v>
      </c>
      <c r="AS21">
        <v>1321</v>
      </c>
      <c r="AT21">
        <v>1762</v>
      </c>
      <c r="AU21">
        <v>1651</v>
      </c>
      <c r="AV21">
        <v>2772</v>
      </c>
      <c r="AW21">
        <v>2570</v>
      </c>
      <c r="AX21">
        <v>3390</v>
      </c>
      <c r="AY21">
        <v>2125</v>
      </c>
      <c r="AZ21">
        <v>2266</v>
      </c>
    </row>
    <row r="22" spans="1:52">
      <c r="B22">
        <v>151</v>
      </c>
      <c r="C22">
        <v>170</v>
      </c>
      <c r="D22">
        <v>257</v>
      </c>
      <c r="E22">
        <v>460</v>
      </c>
      <c r="F22">
        <v>789</v>
      </c>
      <c r="G22">
        <v>959</v>
      </c>
      <c r="H22">
        <v>820</v>
      </c>
      <c r="I22">
        <v>481</v>
      </c>
      <c r="J22">
        <v>460</v>
      </c>
      <c r="K22">
        <v>602</v>
      </c>
      <c r="L22">
        <v>1027</v>
      </c>
      <c r="M22">
        <v>621</v>
      </c>
      <c r="O22">
        <v>102</v>
      </c>
      <c r="P22">
        <v>133</v>
      </c>
      <c r="Q22">
        <v>196</v>
      </c>
      <c r="R22">
        <v>352</v>
      </c>
      <c r="S22">
        <v>979</v>
      </c>
      <c r="T22">
        <v>1150</v>
      </c>
      <c r="U22">
        <v>1345</v>
      </c>
      <c r="V22">
        <v>1424</v>
      </c>
      <c r="W22">
        <v>2011</v>
      </c>
      <c r="X22">
        <v>1849</v>
      </c>
      <c r="Y22">
        <v>2584</v>
      </c>
      <c r="Z22">
        <v>1554</v>
      </c>
      <c r="AB22">
        <v>203.28700000000001</v>
      </c>
      <c r="AC22">
        <v>219.75899999999999</v>
      </c>
      <c r="AD22">
        <v>243.64599999999999</v>
      </c>
      <c r="AE22">
        <v>297.06700000000001</v>
      </c>
      <c r="AF22">
        <v>875.19100000000003</v>
      </c>
      <c r="AG22">
        <v>1599.357</v>
      </c>
      <c r="AH22">
        <v>2330.2570000000001</v>
      </c>
      <c r="AI22">
        <v>3426.5650000000001</v>
      </c>
      <c r="AJ22">
        <v>3485.1489999999999</v>
      </c>
      <c r="AK22">
        <v>5594.74</v>
      </c>
      <c r="AL22">
        <v>7789.9840000000004</v>
      </c>
      <c r="AM22">
        <v>6674.7830000000004</v>
      </c>
      <c r="AO22">
        <v>107</v>
      </c>
      <c r="AP22">
        <v>105</v>
      </c>
      <c r="AQ22">
        <v>154</v>
      </c>
      <c r="AR22">
        <v>425</v>
      </c>
      <c r="AS22">
        <v>1130</v>
      </c>
      <c r="AT22">
        <v>1600</v>
      </c>
      <c r="AU22">
        <v>1239</v>
      </c>
      <c r="AV22">
        <v>1902</v>
      </c>
      <c r="AW22">
        <v>2491</v>
      </c>
      <c r="AX22">
        <v>2817</v>
      </c>
      <c r="AY22">
        <v>2409</v>
      </c>
      <c r="AZ22">
        <v>2106</v>
      </c>
    </row>
    <row r="23" spans="1:52">
      <c r="B23">
        <v>188</v>
      </c>
      <c r="C23">
        <v>219</v>
      </c>
      <c r="D23">
        <v>289</v>
      </c>
      <c r="E23">
        <v>509</v>
      </c>
      <c r="F23">
        <v>338</v>
      </c>
      <c r="G23">
        <v>807</v>
      </c>
      <c r="H23">
        <v>769</v>
      </c>
      <c r="I23">
        <v>861</v>
      </c>
      <c r="J23">
        <v>565</v>
      </c>
      <c r="K23">
        <v>533</v>
      </c>
      <c r="L23">
        <v>599</v>
      </c>
      <c r="M23">
        <v>856</v>
      </c>
      <c r="O23">
        <v>133</v>
      </c>
      <c r="P23">
        <v>176</v>
      </c>
      <c r="Q23">
        <v>133</v>
      </c>
      <c r="R23">
        <v>227</v>
      </c>
      <c r="S23">
        <v>592</v>
      </c>
      <c r="T23">
        <v>1456</v>
      </c>
      <c r="U23">
        <v>1169</v>
      </c>
      <c r="V23">
        <v>1941</v>
      </c>
      <c r="W23">
        <v>2609</v>
      </c>
      <c r="X23">
        <v>2048</v>
      </c>
      <c r="Y23">
        <v>2355</v>
      </c>
      <c r="Z23">
        <v>1567</v>
      </c>
      <c r="AB23">
        <v>374.64800000000002</v>
      </c>
      <c r="AC23">
        <v>235.251</v>
      </c>
      <c r="AD23">
        <v>247.60900000000001</v>
      </c>
      <c r="AE23">
        <v>444.875</v>
      </c>
      <c r="AF23">
        <v>752.00300000000004</v>
      </c>
      <c r="AG23">
        <v>1666.2180000000001</v>
      </c>
      <c r="AH23">
        <v>2463.3560000000002</v>
      </c>
      <c r="AI23">
        <v>2438.7020000000002</v>
      </c>
      <c r="AJ23">
        <v>2586.9319999999998</v>
      </c>
      <c r="AK23">
        <v>4330.9589999999998</v>
      </c>
      <c r="AM23">
        <v>4056.723</v>
      </c>
      <c r="AO23">
        <v>135</v>
      </c>
      <c r="AP23">
        <v>118</v>
      </c>
      <c r="AQ23">
        <v>150</v>
      </c>
      <c r="AR23">
        <v>406</v>
      </c>
      <c r="AS23">
        <v>1050</v>
      </c>
      <c r="AT23">
        <v>1080</v>
      </c>
      <c r="AU23">
        <v>1287</v>
      </c>
      <c r="AV23">
        <v>1847</v>
      </c>
      <c r="AW23">
        <v>2349</v>
      </c>
      <c r="AX23">
        <v>3074</v>
      </c>
      <c r="AY23">
        <v>2945</v>
      </c>
      <c r="AZ23">
        <v>2748</v>
      </c>
    </row>
    <row r="24" spans="1:52">
      <c r="B24">
        <v>146</v>
      </c>
      <c r="C24">
        <v>165</v>
      </c>
      <c r="D24">
        <v>277</v>
      </c>
      <c r="E24">
        <v>537</v>
      </c>
      <c r="F24">
        <v>677</v>
      </c>
      <c r="G24">
        <v>1133</v>
      </c>
      <c r="H24">
        <v>941</v>
      </c>
      <c r="I24">
        <v>689</v>
      </c>
      <c r="J24">
        <v>507</v>
      </c>
      <c r="K24">
        <v>558</v>
      </c>
      <c r="L24">
        <v>903</v>
      </c>
      <c r="M24">
        <v>949</v>
      </c>
      <c r="U24">
        <v>1103</v>
      </c>
      <c r="W24">
        <v>1611</v>
      </c>
      <c r="X24">
        <v>2225</v>
      </c>
      <c r="Y24">
        <v>1101</v>
      </c>
      <c r="Z24">
        <v>1503</v>
      </c>
      <c r="AG24">
        <v>1316.9269999999999</v>
      </c>
      <c r="AH24">
        <v>1734.4280000000001</v>
      </c>
      <c r="AI24">
        <v>2711.8530000000001</v>
      </c>
      <c r="AJ24">
        <v>4036.3220000000001</v>
      </c>
      <c r="AK24">
        <v>7150.5020000000004</v>
      </c>
      <c r="AM24">
        <v>6755.0709999999999</v>
      </c>
      <c r="AO24">
        <v>97</v>
      </c>
      <c r="AP24">
        <v>104</v>
      </c>
      <c r="AQ24">
        <v>187</v>
      </c>
      <c r="AR24">
        <v>494</v>
      </c>
      <c r="AS24">
        <v>707</v>
      </c>
      <c r="AT24">
        <v>1331</v>
      </c>
      <c r="AU24">
        <v>1171</v>
      </c>
      <c r="AV24">
        <v>2899</v>
      </c>
      <c r="AW24">
        <v>2079</v>
      </c>
      <c r="AX24">
        <v>3408</v>
      </c>
      <c r="AY24">
        <v>2081</v>
      </c>
      <c r="AZ24">
        <v>2532</v>
      </c>
    </row>
    <row r="25" spans="1:52">
      <c r="D25">
        <v>270</v>
      </c>
      <c r="F25">
        <v>641</v>
      </c>
      <c r="G25">
        <v>1076</v>
      </c>
      <c r="H25">
        <v>806</v>
      </c>
      <c r="I25">
        <v>623</v>
      </c>
      <c r="J25">
        <v>555</v>
      </c>
      <c r="K25">
        <v>906</v>
      </c>
      <c r="W25">
        <v>2237</v>
      </c>
      <c r="Y25">
        <v>1902</v>
      </c>
      <c r="Z25">
        <v>1133</v>
      </c>
      <c r="AG25">
        <v>1476.9949999999999</v>
      </c>
      <c r="AH25">
        <v>2238.1129999999998</v>
      </c>
      <c r="AI25">
        <v>2863.79</v>
      </c>
      <c r="AJ25">
        <v>4245.732</v>
      </c>
      <c r="AK25">
        <v>5590.5129999999999</v>
      </c>
      <c r="AS25">
        <v>1021</v>
      </c>
      <c r="AT25">
        <v>1261</v>
      </c>
      <c r="AU25">
        <v>1376</v>
      </c>
      <c r="AW25">
        <v>2437</v>
      </c>
      <c r="AX25">
        <v>3323</v>
      </c>
      <c r="AZ25">
        <v>2453</v>
      </c>
    </row>
    <row r="26" spans="1:52">
      <c r="F26">
        <v>437</v>
      </c>
      <c r="G26">
        <v>872</v>
      </c>
      <c r="H26">
        <v>549</v>
      </c>
      <c r="I26">
        <v>969</v>
      </c>
      <c r="J26">
        <v>1015</v>
      </c>
      <c r="K26">
        <v>883</v>
      </c>
      <c r="W26">
        <v>1481</v>
      </c>
      <c r="Y26">
        <v>2296</v>
      </c>
      <c r="Z26">
        <v>1095</v>
      </c>
      <c r="AH26">
        <v>1954.7760000000001</v>
      </c>
      <c r="AJ26">
        <v>3177.2849999999999</v>
      </c>
      <c r="AZ26">
        <v>2092</v>
      </c>
    </row>
    <row r="27" spans="1:52">
      <c r="F27">
        <v>385</v>
      </c>
      <c r="H27">
        <v>936</v>
      </c>
      <c r="I27">
        <v>443</v>
      </c>
      <c r="K27">
        <v>874</v>
      </c>
      <c r="AH27">
        <v>2954.7190000000001</v>
      </c>
    </row>
    <row r="28" spans="1:52">
      <c r="H28">
        <v>779</v>
      </c>
      <c r="I28">
        <v>822</v>
      </c>
      <c r="K28">
        <v>908</v>
      </c>
    </row>
    <row r="29" spans="1:52">
      <c r="I29">
        <v>495</v>
      </c>
    </row>
    <row r="30" spans="1:52">
      <c r="I30">
        <v>584</v>
      </c>
    </row>
    <row r="31" spans="1:52">
      <c r="I31">
        <v>758</v>
      </c>
    </row>
    <row r="32" spans="1:52">
      <c r="I32">
        <v>550</v>
      </c>
    </row>
    <row r="33" spans="1:52">
      <c r="I33">
        <v>780</v>
      </c>
    </row>
    <row r="35" spans="1:52" s="4" customFormat="1">
      <c r="A35" s="4" t="s">
        <v>21</v>
      </c>
      <c r="B35" s="4">
        <f>AVERAGE(B21:B33)</f>
        <v>163.75</v>
      </c>
      <c r="C35" s="4">
        <f t="shared" ref="C35:AM35" si="0">AVERAGE(C21:C33)</f>
        <v>191</v>
      </c>
      <c r="D35" s="4">
        <f t="shared" si="0"/>
        <v>265.8</v>
      </c>
      <c r="E35" s="4">
        <f t="shared" si="0"/>
        <v>515</v>
      </c>
      <c r="F35" s="4">
        <f t="shared" si="0"/>
        <v>590.28571428571433</v>
      </c>
      <c r="G35" s="4">
        <f t="shared" si="0"/>
        <v>957.83333333333337</v>
      </c>
      <c r="H35" s="4">
        <f t="shared" si="0"/>
        <v>791.875</v>
      </c>
      <c r="I35" s="4">
        <f t="shared" si="0"/>
        <v>673</v>
      </c>
      <c r="J35" s="4">
        <f t="shared" si="0"/>
        <v>628.33333333333337</v>
      </c>
      <c r="K35" s="4">
        <f t="shared" si="0"/>
        <v>754.875</v>
      </c>
      <c r="L35" s="4">
        <f t="shared" si="0"/>
        <v>812.5</v>
      </c>
      <c r="M35" s="4">
        <f t="shared" si="0"/>
        <v>715</v>
      </c>
      <c r="O35" s="4">
        <f t="shared" si="0"/>
        <v>129</v>
      </c>
      <c r="P35" s="4">
        <f t="shared" si="0"/>
        <v>152.33333333333334</v>
      </c>
      <c r="Q35" s="4">
        <f t="shared" si="0"/>
        <v>165</v>
      </c>
      <c r="R35" s="4">
        <f t="shared" si="0"/>
        <v>302</v>
      </c>
      <c r="S35" s="4">
        <f t="shared" si="0"/>
        <v>739</v>
      </c>
      <c r="T35" s="4">
        <f t="shared" si="0"/>
        <v>1395.3333333333333</v>
      </c>
      <c r="U35" s="4">
        <f t="shared" si="0"/>
        <v>1235.25</v>
      </c>
      <c r="V35" s="4">
        <f t="shared" si="0"/>
        <v>1884.6666666666667</v>
      </c>
      <c r="W35" s="4">
        <f t="shared" si="0"/>
        <v>1998.3333333333333</v>
      </c>
      <c r="X35" s="4">
        <f t="shared" si="0"/>
        <v>1926.25</v>
      </c>
      <c r="Y35" s="4">
        <f t="shared" si="0"/>
        <v>1951.6666666666667</v>
      </c>
      <c r="Z35" s="4">
        <f t="shared" si="0"/>
        <v>1299</v>
      </c>
      <c r="AB35" s="4">
        <f t="shared" si="0"/>
        <v>271.45999999999998</v>
      </c>
      <c r="AC35" s="4">
        <f t="shared" si="0"/>
        <v>267.39100000000002</v>
      </c>
      <c r="AD35" s="4">
        <f t="shared" si="0"/>
        <v>296.65966666666668</v>
      </c>
      <c r="AE35" s="4">
        <f t="shared" si="0"/>
        <v>343.44566666666668</v>
      </c>
      <c r="AF35" s="4">
        <f t="shared" si="0"/>
        <v>795.73066666666671</v>
      </c>
      <c r="AG35" s="4">
        <f t="shared" si="0"/>
        <v>1585.5978</v>
      </c>
      <c r="AH35" s="4">
        <f t="shared" si="0"/>
        <v>2351.0974285714287</v>
      </c>
      <c r="AI35" s="4">
        <f t="shared" si="0"/>
        <v>3017.2282</v>
      </c>
      <c r="AJ35" s="4">
        <f t="shared" si="0"/>
        <v>3693.1711666666665</v>
      </c>
      <c r="AK35" s="4">
        <f t="shared" si="0"/>
        <v>5449.2248</v>
      </c>
      <c r="AL35" s="4">
        <f t="shared" si="0"/>
        <v>7171.549</v>
      </c>
      <c r="AM35" s="4">
        <f t="shared" si="0"/>
        <v>5824.39725</v>
      </c>
      <c r="AO35" s="4">
        <f t="shared" ref="AO35:AZ35" si="1">AVERAGE(AO21:AO33)</f>
        <v>117.5</v>
      </c>
      <c r="AP35" s="4">
        <f t="shared" si="1"/>
        <v>116.25</v>
      </c>
      <c r="AQ35" s="4">
        <f t="shared" si="1"/>
        <v>177</v>
      </c>
      <c r="AR35" s="4">
        <f t="shared" si="1"/>
        <v>413.75</v>
      </c>
      <c r="AS35" s="4">
        <f t="shared" si="1"/>
        <v>1045.8</v>
      </c>
      <c r="AT35" s="4">
        <f t="shared" si="1"/>
        <v>1406.8</v>
      </c>
      <c r="AU35" s="4">
        <f t="shared" si="1"/>
        <v>1344.8</v>
      </c>
      <c r="AV35" s="4">
        <f t="shared" si="1"/>
        <v>2355</v>
      </c>
      <c r="AW35" s="4">
        <f t="shared" si="1"/>
        <v>2385.1999999999998</v>
      </c>
      <c r="AX35" s="4">
        <f t="shared" si="1"/>
        <v>3202.4</v>
      </c>
      <c r="AY35" s="4">
        <f t="shared" si="1"/>
        <v>2390</v>
      </c>
      <c r="AZ35" s="4">
        <f t="shared" si="1"/>
        <v>2366.1666666666665</v>
      </c>
    </row>
    <row r="38" spans="1:52">
      <c r="A38" t="s">
        <v>104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24</v>
      </c>
      <c r="P38" t="s">
        <v>25</v>
      </c>
      <c r="Q38" t="s">
        <v>26</v>
      </c>
      <c r="R38" t="s">
        <v>27</v>
      </c>
      <c r="S38" t="s">
        <v>28</v>
      </c>
      <c r="T38" t="s">
        <v>29</v>
      </c>
      <c r="U38" t="s">
        <v>30</v>
      </c>
      <c r="V38" t="s">
        <v>31</v>
      </c>
      <c r="W38" t="s">
        <v>32</v>
      </c>
      <c r="X38" t="s">
        <v>33</v>
      </c>
      <c r="Y38" t="s">
        <v>34</v>
      </c>
      <c r="Z38" t="s">
        <v>35</v>
      </c>
      <c r="AB38" t="s">
        <v>48</v>
      </c>
      <c r="AC38" t="s">
        <v>49</v>
      </c>
      <c r="AD38" t="s">
        <v>50</v>
      </c>
      <c r="AE38" t="s">
        <v>51</v>
      </c>
      <c r="AF38" t="s">
        <v>52</v>
      </c>
      <c r="AG38" t="s">
        <v>53</v>
      </c>
      <c r="AH38" t="s">
        <v>54</v>
      </c>
      <c r="AI38" t="s">
        <v>55</v>
      </c>
      <c r="AJ38" t="s">
        <v>56</v>
      </c>
      <c r="AK38" t="s">
        <v>57</v>
      </c>
      <c r="AL38" t="s">
        <v>58</v>
      </c>
      <c r="AM38" t="s">
        <v>59</v>
      </c>
      <c r="AO38" t="s">
        <v>36</v>
      </c>
      <c r="AP38" t="s">
        <v>37</v>
      </c>
      <c r="AQ38" t="s">
        <v>38</v>
      </c>
      <c r="AR38" t="s">
        <v>39</v>
      </c>
      <c r="AS38" t="s">
        <v>40</v>
      </c>
      <c r="AT38" t="s">
        <v>41</v>
      </c>
      <c r="AU38" t="s">
        <v>42</v>
      </c>
      <c r="AV38" t="s">
        <v>43</v>
      </c>
      <c r="AW38" t="s">
        <v>44</v>
      </c>
      <c r="AX38" t="s">
        <v>45</v>
      </c>
      <c r="AY38" t="s">
        <v>46</v>
      </c>
      <c r="AZ38" t="s">
        <v>47</v>
      </c>
    </row>
    <row r="39" spans="1:52">
      <c r="B39">
        <f>B2-164</f>
        <v>2524</v>
      </c>
      <c r="C39">
        <f>C2-191</f>
        <v>6621.875</v>
      </c>
      <c r="D39">
        <f>D2-266</f>
        <v>2250</v>
      </c>
      <c r="E39">
        <f>E2-515</f>
        <v>1545</v>
      </c>
      <c r="F39">
        <f>F2-590</f>
        <v>2824</v>
      </c>
      <c r="G39">
        <f>G2-958</f>
        <v>3682</v>
      </c>
      <c r="H39">
        <f>H2-792</f>
        <v>5302</v>
      </c>
      <c r="I39">
        <f>I2-673</f>
        <v>5864</v>
      </c>
      <c r="J39">
        <f>J2-628</f>
        <v>5170</v>
      </c>
      <c r="K39">
        <f>K2-755</f>
        <v>2949</v>
      </c>
      <c r="L39">
        <f>L2-813</f>
        <v>1035</v>
      </c>
      <c r="M39">
        <f>M2-715</f>
        <v>1093</v>
      </c>
      <c r="O39">
        <f>O2-129</f>
        <v>2370</v>
      </c>
      <c r="P39">
        <f>P2-152</f>
        <v>4274</v>
      </c>
      <c r="Q39">
        <f>Q2-165</f>
        <v>2009</v>
      </c>
      <c r="R39">
        <f>R2-302</f>
        <v>1717</v>
      </c>
      <c r="S39">
        <f>S2-739</f>
        <v>2880</v>
      </c>
      <c r="T39">
        <f>T2-1395</f>
        <v>2401</v>
      </c>
      <c r="U39">
        <f>U2-1235</f>
        <v>3475</v>
      </c>
      <c r="V39">
        <f>V2-1885</f>
        <v>2710</v>
      </c>
      <c r="W39">
        <f>W2-1998</f>
        <v>3735</v>
      </c>
      <c r="X39">
        <f>X2-1926</f>
        <v>1934</v>
      </c>
      <c r="Y39">
        <f>Y2-1952</f>
        <v>-222</v>
      </c>
      <c r="Z39">
        <f>Z2-1299</f>
        <v>1167</v>
      </c>
      <c r="AB39">
        <f>AB2-271</f>
        <v>3250.96</v>
      </c>
      <c r="AC39">
        <f>AC2-267</f>
        <v>5038.0829999999996</v>
      </c>
      <c r="AD39">
        <f>AD2-297</f>
        <v>2954.5709999999999</v>
      </c>
      <c r="AE39">
        <f>AE2-343</f>
        <v>2751.4789999999998</v>
      </c>
      <c r="AF39">
        <f>AF2-796</f>
        <v>1878.029</v>
      </c>
      <c r="AG39">
        <f>AG2-1586</f>
        <v>4165.7049999999999</v>
      </c>
      <c r="AH39">
        <f>AH2-2351</f>
        <v>6068.2839999999997</v>
      </c>
      <c r="AI39">
        <f>AI2-3017</f>
        <v>7672.1689999999999</v>
      </c>
      <c r="AJ39">
        <f>AJ2-3693</f>
        <v>5907.9120000000003</v>
      </c>
      <c r="AK39">
        <f>AK2-5449</f>
        <v>7223.2690000000002</v>
      </c>
      <c r="AL39">
        <f>AL2-7172</f>
        <v>8359.6370000000006</v>
      </c>
      <c r="AM39">
        <f>AM2-5824</f>
        <v>7438.5319999999992</v>
      </c>
      <c r="AO39">
        <f>AO2-118</f>
        <v>2417</v>
      </c>
      <c r="AP39">
        <f>AP2-116</f>
        <v>5089</v>
      </c>
      <c r="AQ39">
        <f>AQ2-177</f>
        <v>993</v>
      </c>
      <c r="AR39">
        <f>AR2-414</f>
        <v>1558</v>
      </c>
      <c r="AS39">
        <f>AS2-1046</f>
        <v>1374</v>
      </c>
      <c r="AT39">
        <f>AT2-1407</f>
        <v>2466</v>
      </c>
      <c r="AU39">
        <f>AU2-1345</f>
        <v>3074</v>
      </c>
      <c r="AV39">
        <f>AV2-2355</f>
        <v>4964</v>
      </c>
      <c r="AW39">
        <f>AW2-2385</f>
        <v>3804</v>
      </c>
      <c r="AX39">
        <f>AX2-3202</f>
        <v>3553</v>
      </c>
      <c r="AY39">
        <f>AY2-2390</f>
        <v>4333</v>
      </c>
      <c r="AZ39">
        <f>AZ2-2366</f>
        <v>4521</v>
      </c>
    </row>
    <row r="40" spans="1:52">
      <c r="B40">
        <f t="shared" ref="B40:B46" si="2">B3-164</f>
        <v>1920</v>
      </c>
      <c r="C40">
        <f t="shared" ref="C40:C45" si="3">C3-191</f>
        <v>4551.875</v>
      </c>
      <c r="D40">
        <f t="shared" ref="D40:D44" si="4">D3-266</f>
        <v>1495</v>
      </c>
      <c r="E40">
        <f t="shared" ref="E40:E43" si="5">E3-515</f>
        <v>1869</v>
      </c>
      <c r="F40">
        <f t="shared" ref="F40:F47" si="6">F3-590</f>
        <v>2476</v>
      </c>
      <c r="G40">
        <f t="shared" ref="G40:G43" si="7">G3-958</f>
        <v>2864</v>
      </c>
      <c r="H40">
        <f t="shared" ref="H40:H46" si="8">H3-792</f>
        <v>5005</v>
      </c>
      <c r="I40">
        <f t="shared" ref="I40:I44" si="9">I3-673</f>
        <v>3348</v>
      </c>
      <c r="J40">
        <f t="shared" ref="J40:J50" si="10">J3-628</f>
        <v>4930</v>
      </c>
      <c r="K40">
        <f t="shared" ref="K40:K44" si="11">K3-755</f>
        <v>3468</v>
      </c>
      <c r="L40">
        <f t="shared" ref="L40:L51" si="12">L3-813</f>
        <v>1742</v>
      </c>
      <c r="M40">
        <f t="shared" ref="M40:M43" si="13">M3-715</f>
        <v>277</v>
      </c>
      <c r="O40">
        <f t="shared" ref="O40:O43" si="14">O3-129</f>
        <v>1867</v>
      </c>
      <c r="P40">
        <f t="shared" ref="P40:P43" si="15">P3-152</f>
        <v>5051</v>
      </c>
      <c r="Q40">
        <f t="shared" ref="Q40:Q44" si="16">Q3-165</f>
        <v>1932</v>
      </c>
      <c r="R40">
        <f t="shared" ref="R40:R43" si="17">R3-302</f>
        <v>1674</v>
      </c>
      <c r="S40">
        <f t="shared" ref="S40:S43" si="18">S3-739</f>
        <v>2575</v>
      </c>
      <c r="T40">
        <f t="shared" ref="T40:T43" si="19">T3-1395</f>
        <v>3648</v>
      </c>
      <c r="U40">
        <f t="shared" ref="U40:U44" si="20">U3-1235</f>
        <v>4807</v>
      </c>
      <c r="V40">
        <f t="shared" ref="V40:V42" si="21">V3-1885</f>
        <v>4133</v>
      </c>
      <c r="W40">
        <f t="shared" ref="W40:W44" si="22">W3-1998</f>
        <v>3067</v>
      </c>
      <c r="X40">
        <f t="shared" ref="X40:X48" si="23">X3-1926</f>
        <v>1532</v>
      </c>
      <c r="Y40">
        <f t="shared" ref="Y40:Y44" si="24">Y3-1952</f>
        <v>-55</v>
      </c>
      <c r="Z40">
        <f t="shared" ref="Z40:Z46" si="25">Z3-1299</f>
        <v>793</v>
      </c>
      <c r="AB40">
        <f t="shared" ref="AB40:AB41" si="26">AB3-271</f>
        <v>2619.645</v>
      </c>
      <c r="AC40">
        <f t="shared" ref="AC40:AC44" si="27">AC3-267</f>
        <v>3946.21</v>
      </c>
      <c r="AD40">
        <f t="shared" ref="AD40:AD46" si="28">AD3-297</f>
        <v>1869.306</v>
      </c>
      <c r="AE40">
        <f t="shared" ref="AE40:AE44" si="29">AE3-343</f>
        <v>2554.1559999999999</v>
      </c>
      <c r="AF40">
        <f t="shared" ref="AF40:AF45" si="30">AF3-796</f>
        <v>4645.6469999999999</v>
      </c>
      <c r="AG40">
        <f t="shared" ref="AG40:AG48" si="31">AG3-1586</f>
        <v>5018.1329999999998</v>
      </c>
      <c r="AH40">
        <f t="shared" ref="AH40:AH50" si="32">AH3-2351</f>
        <v>3762.5919999999996</v>
      </c>
      <c r="AI40">
        <f t="shared" ref="AI40:AI50" si="33">AI3-3017</f>
        <v>8291.4330000000009</v>
      </c>
      <c r="AJ40">
        <f t="shared" ref="AJ40:AJ46" si="34">AJ3-3693</f>
        <v>7030.7080000000005</v>
      </c>
      <c r="AK40">
        <f t="shared" ref="AK40:AK47" si="35">AK3-5449</f>
        <v>6301.4920000000002</v>
      </c>
      <c r="AL40">
        <f t="shared" ref="AL40:AL46" si="36">AL3-7172</f>
        <v>8649.2880000000005</v>
      </c>
      <c r="AM40">
        <f t="shared" ref="AM40:AM42" si="37">AM3-5824</f>
        <v>8554.3580000000002</v>
      </c>
      <c r="AO40">
        <f t="shared" ref="AO40:AO42" si="38">AO3-118</f>
        <v>1640</v>
      </c>
      <c r="AP40">
        <f t="shared" ref="AP40:AP42" si="39">AP3-116</f>
        <v>3268</v>
      </c>
      <c r="AQ40">
        <f t="shared" ref="AQ40:AQ42" si="40">AQ3-177</f>
        <v>1356</v>
      </c>
      <c r="AR40">
        <f t="shared" ref="AR40:AR42" si="41">AR3-414</f>
        <v>1958</v>
      </c>
      <c r="AS40">
        <f t="shared" ref="AS40:AS42" si="42">AS3-1046</f>
        <v>1700</v>
      </c>
      <c r="AT40">
        <f t="shared" ref="AT40:AT42" si="43">AT3-1407</f>
        <v>3053</v>
      </c>
      <c r="AU40">
        <f t="shared" ref="AU40:AU42" si="44">AU3-1345</f>
        <v>4676</v>
      </c>
      <c r="AV40">
        <f t="shared" ref="AV40:AV42" si="45">AV3-2355</f>
        <v>4835</v>
      </c>
      <c r="AW40">
        <f t="shared" ref="AW40:AW41" si="46">AW3-2385</f>
        <v>3867</v>
      </c>
      <c r="AX40">
        <f t="shared" ref="AX40:AX43" si="47">AX3-3202</f>
        <v>3749</v>
      </c>
      <c r="AY40">
        <f t="shared" ref="AY40:AY44" si="48">AY3-2390</f>
        <v>4273</v>
      </c>
      <c r="AZ40">
        <f t="shared" ref="AZ40:AZ43" si="49">AZ3-2366</f>
        <v>1463</v>
      </c>
    </row>
    <row r="41" spans="1:52">
      <c r="B41">
        <f t="shared" si="2"/>
        <v>2364</v>
      </c>
      <c r="C41">
        <f t="shared" si="3"/>
        <v>4849.9620000000004</v>
      </c>
      <c r="D41">
        <f t="shared" si="4"/>
        <v>1815</v>
      </c>
      <c r="E41">
        <f t="shared" si="5"/>
        <v>1148</v>
      </c>
      <c r="F41">
        <f t="shared" si="6"/>
        <v>2236</v>
      </c>
      <c r="G41">
        <f t="shared" si="7"/>
        <v>3439</v>
      </c>
      <c r="H41">
        <f t="shared" si="8"/>
        <v>5395</v>
      </c>
      <c r="I41">
        <f t="shared" si="9"/>
        <v>5311</v>
      </c>
      <c r="J41">
        <f t="shared" si="10"/>
        <v>2938</v>
      </c>
      <c r="K41">
        <f t="shared" si="11"/>
        <v>2652</v>
      </c>
      <c r="L41">
        <f t="shared" si="12"/>
        <v>851</v>
      </c>
      <c r="M41">
        <f t="shared" si="13"/>
        <v>926</v>
      </c>
      <c r="O41">
        <f t="shared" si="14"/>
        <v>3546</v>
      </c>
      <c r="P41">
        <f t="shared" si="15"/>
        <v>2913</v>
      </c>
      <c r="Q41">
        <f t="shared" si="16"/>
        <v>1045</v>
      </c>
      <c r="R41">
        <f t="shared" si="17"/>
        <v>1949</v>
      </c>
      <c r="S41">
        <f t="shared" si="18"/>
        <v>2246</v>
      </c>
      <c r="T41">
        <f t="shared" si="19"/>
        <v>2261</v>
      </c>
      <c r="U41">
        <f t="shared" si="20"/>
        <v>2706</v>
      </c>
      <c r="V41">
        <f t="shared" si="21"/>
        <v>3231</v>
      </c>
      <c r="W41">
        <f t="shared" si="22"/>
        <v>2459</v>
      </c>
      <c r="X41">
        <f t="shared" si="23"/>
        <v>833</v>
      </c>
      <c r="Y41">
        <f t="shared" si="24"/>
        <v>401</v>
      </c>
      <c r="Z41">
        <f t="shared" si="25"/>
        <v>893</v>
      </c>
      <c r="AB41">
        <f t="shared" si="26"/>
        <v>2869.5</v>
      </c>
      <c r="AC41">
        <f t="shared" si="27"/>
        <v>6044.4049999999997</v>
      </c>
      <c r="AD41">
        <f t="shared" si="28"/>
        <v>1933.335</v>
      </c>
      <c r="AE41">
        <f t="shared" si="29"/>
        <v>2528.86</v>
      </c>
      <c r="AF41">
        <f t="shared" si="30"/>
        <v>4690.7550000000001</v>
      </c>
      <c r="AG41">
        <f t="shared" si="31"/>
        <v>4991.1260000000002</v>
      </c>
      <c r="AH41">
        <f t="shared" si="32"/>
        <v>5930.3649999999998</v>
      </c>
      <c r="AI41">
        <f t="shared" si="33"/>
        <v>8421.4959999999992</v>
      </c>
      <c r="AJ41">
        <f t="shared" si="34"/>
        <v>8792.4599999999991</v>
      </c>
      <c r="AK41">
        <f t="shared" si="35"/>
        <v>5514.9689999999991</v>
      </c>
      <c r="AL41">
        <f t="shared" si="36"/>
        <v>9186.9349999999995</v>
      </c>
      <c r="AM41">
        <f t="shared" si="37"/>
        <v>6070.5010000000002</v>
      </c>
      <c r="AO41">
        <f t="shared" si="38"/>
        <v>1415</v>
      </c>
      <c r="AP41">
        <f t="shared" si="39"/>
        <v>3442</v>
      </c>
      <c r="AQ41">
        <f t="shared" si="40"/>
        <v>731</v>
      </c>
      <c r="AR41">
        <f t="shared" si="41"/>
        <v>1339</v>
      </c>
      <c r="AS41">
        <f t="shared" si="42"/>
        <v>1414</v>
      </c>
      <c r="AT41">
        <f t="shared" si="43"/>
        <v>2298</v>
      </c>
      <c r="AU41">
        <f t="shared" si="44"/>
        <v>3181</v>
      </c>
      <c r="AV41">
        <f t="shared" si="45"/>
        <v>4562</v>
      </c>
      <c r="AW41">
        <f t="shared" si="46"/>
        <v>2530</v>
      </c>
      <c r="AX41">
        <f t="shared" si="47"/>
        <v>2077</v>
      </c>
      <c r="AY41">
        <f t="shared" si="48"/>
        <v>2327</v>
      </c>
      <c r="AZ41">
        <f t="shared" si="49"/>
        <v>2404</v>
      </c>
    </row>
    <row r="42" spans="1:52">
      <c r="B42">
        <f t="shared" si="2"/>
        <v>1968</v>
      </c>
      <c r="C42">
        <f t="shared" si="3"/>
        <v>5501.1689999999999</v>
      </c>
      <c r="D42">
        <f t="shared" si="4"/>
        <v>1388</v>
      </c>
      <c r="E42">
        <f t="shared" si="5"/>
        <v>1604</v>
      </c>
      <c r="F42">
        <f t="shared" si="6"/>
        <v>1797</v>
      </c>
      <c r="G42">
        <f t="shared" si="7"/>
        <v>2279</v>
      </c>
      <c r="H42">
        <f t="shared" si="8"/>
        <v>4297</v>
      </c>
      <c r="I42">
        <f t="shared" si="9"/>
        <v>5248</v>
      </c>
      <c r="J42">
        <f t="shared" si="10"/>
        <v>5609</v>
      </c>
      <c r="K42">
        <f t="shared" si="11"/>
        <v>2733</v>
      </c>
      <c r="L42">
        <f t="shared" si="12"/>
        <v>958</v>
      </c>
      <c r="M42">
        <f t="shared" si="13"/>
        <v>-24</v>
      </c>
      <c r="O42">
        <f t="shared" si="14"/>
        <v>2222</v>
      </c>
      <c r="P42">
        <f t="shared" si="15"/>
        <v>3148</v>
      </c>
      <c r="Q42">
        <f t="shared" si="16"/>
        <v>1128</v>
      </c>
      <c r="R42">
        <f t="shared" si="17"/>
        <v>1909</v>
      </c>
      <c r="S42">
        <f t="shared" si="18"/>
        <v>3072</v>
      </c>
      <c r="T42">
        <f t="shared" si="19"/>
        <v>4310</v>
      </c>
      <c r="U42">
        <f t="shared" si="20"/>
        <v>3494</v>
      </c>
      <c r="V42">
        <f t="shared" si="21"/>
        <v>1886</v>
      </c>
      <c r="W42">
        <f t="shared" si="22"/>
        <v>2749</v>
      </c>
      <c r="X42">
        <f t="shared" si="23"/>
        <v>999</v>
      </c>
      <c r="Y42">
        <f t="shared" si="24"/>
        <v>-368</v>
      </c>
      <c r="Z42">
        <f t="shared" si="25"/>
        <v>1318</v>
      </c>
      <c r="AC42">
        <f t="shared" si="27"/>
        <v>4276.07</v>
      </c>
      <c r="AD42">
        <f t="shared" si="28"/>
        <v>2898.4140000000002</v>
      </c>
      <c r="AE42">
        <f t="shared" si="29"/>
        <v>1843.4609999999998</v>
      </c>
      <c r="AF42">
        <f t="shared" si="30"/>
        <v>2271.192</v>
      </c>
      <c r="AG42">
        <f t="shared" si="31"/>
        <v>4753.2049999999999</v>
      </c>
      <c r="AH42">
        <f t="shared" si="32"/>
        <v>6896.3700000000008</v>
      </c>
      <c r="AI42">
        <f t="shared" si="33"/>
        <v>9955.4670000000006</v>
      </c>
      <c r="AJ42">
        <f t="shared" si="34"/>
        <v>7259.83</v>
      </c>
      <c r="AK42">
        <f t="shared" si="35"/>
        <v>6206.4480000000003</v>
      </c>
      <c r="AL42">
        <f t="shared" si="36"/>
        <v>8825.8989999999994</v>
      </c>
      <c r="AM42">
        <f t="shared" si="37"/>
        <v>8703.6810000000005</v>
      </c>
      <c r="AO42">
        <f t="shared" si="38"/>
        <v>2238</v>
      </c>
      <c r="AP42">
        <f t="shared" si="39"/>
        <v>3824</v>
      </c>
      <c r="AQ42">
        <f t="shared" si="40"/>
        <v>1343</v>
      </c>
      <c r="AR42">
        <f t="shared" si="41"/>
        <v>1600</v>
      </c>
      <c r="AS42">
        <f t="shared" si="42"/>
        <v>1713</v>
      </c>
      <c r="AT42">
        <f t="shared" si="43"/>
        <v>2541</v>
      </c>
      <c r="AU42">
        <f t="shared" si="44"/>
        <v>3647</v>
      </c>
      <c r="AV42">
        <f t="shared" si="45"/>
        <v>4100</v>
      </c>
      <c r="AX42">
        <f t="shared" si="47"/>
        <v>2527</v>
      </c>
      <c r="AY42">
        <f t="shared" si="48"/>
        <v>878</v>
      </c>
      <c r="AZ42">
        <f t="shared" si="49"/>
        <v>2387</v>
      </c>
    </row>
    <row r="43" spans="1:52">
      <c r="B43">
        <f t="shared" si="2"/>
        <v>2539.598</v>
      </c>
      <c r="C43">
        <f t="shared" si="3"/>
        <v>4520.8549999999996</v>
      </c>
      <c r="D43">
        <f t="shared" si="4"/>
        <v>1122</v>
      </c>
      <c r="E43">
        <f t="shared" si="5"/>
        <v>1777</v>
      </c>
      <c r="F43">
        <f t="shared" si="6"/>
        <v>2539</v>
      </c>
      <c r="G43">
        <f t="shared" si="7"/>
        <v>2362</v>
      </c>
      <c r="H43">
        <f t="shared" si="8"/>
        <v>5579</v>
      </c>
      <c r="I43">
        <f t="shared" si="9"/>
        <v>4932</v>
      </c>
      <c r="J43">
        <f t="shared" si="10"/>
        <v>5778</v>
      </c>
      <c r="K43">
        <f t="shared" si="11"/>
        <v>2125</v>
      </c>
      <c r="L43">
        <f t="shared" si="12"/>
        <v>1456</v>
      </c>
      <c r="M43">
        <f t="shared" si="13"/>
        <v>780</v>
      </c>
      <c r="O43">
        <f t="shared" si="14"/>
        <v>2693</v>
      </c>
      <c r="P43">
        <f t="shared" si="15"/>
        <v>3577</v>
      </c>
      <c r="Q43">
        <f t="shared" si="16"/>
        <v>1221</v>
      </c>
      <c r="R43">
        <f t="shared" si="17"/>
        <v>1508</v>
      </c>
      <c r="S43">
        <f t="shared" si="18"/>
        <v>2402</v>
      </c>
      <c r="T43">
        <f t="shared" si="19"/>
        <v>1719</v>
      </c>
      <c r="U43">
        <f t="shared" si="20"/>
        <v>2652</v>
      </c>
      <c r="W43">
        <f t="shared" si="22"/>
        <v>671</v>
      </c>
      <c r="X43">
        <f t="shared" si="23"/>
        <v>2563</v>
      </c>
      <c r="Y43">
        <f t="shared" si="24"/>
        <v>-86</v>
      </c>
      <c r="Z43">
        <f t="shared" si="25"/>
        <v>105</v>
      </c>
      <c r="AC43">
        <f t="shared" si="27"/>
        <v>4765.5789999999997</v>
      </c>
      <c r="AD43">
        <f t="shared" si="28"/>
        <v>3058.4180000000001</v>
      </c>
      <c r="AE43">
        <f t="shared" si="29"/>
        <v>1859.2399999999998</v>
      </c>
      <c r="AF43">
        <f t="shared" si="30"/>
        <v>3736.5649999999996</v>
      </c>
      <c r="AG43">
        <f t="shared" si="31"/>
        <v>3970.8789999999999</v>
      </c>
      <c r="AH43">
        <f t="shared" si="32"/>
        <v>4397.5519999999997</v>
      </c>
      <c r="AI43">
        <f t="shared" si="33"/>
        <v>5829.723</v>
      </c>
      <c r="AJ43">
        <f t="shared" si="34"/>
        <v>7191.8250000000007</v>
      </c>
      <c r="AK43">
        <f t="shared" si="35"/>
        <v>8438.1910000000007</v>
      </c>
      <c r="AL43">
        <f t="shared" si="36"/>
        <v>8677.9089999999997</v>
      </c>
      <c r="AX43">
        <f t="shared" si="47"/>
        <v>1875</v>
      </c>
      <c r="AY43">
        <f t="shared" si="48"/>
        <v>4031</v>
      </c>
      <c r="AZ43">
        <f t="shared" si="49"/>
        <v>4177</v>
      </c>
    </row>
    <row r="44" spans="1:52">
      <c r="B44">
        <f t="shared" si="2"/>
        <v>2359.808</v>
      </c>
      <c r="C44">
        <f t="shared" si="3"/>
        <v>6690.7569999999996</v>
      </c>
      <c r="D44">
        <f t="shared" si="4"/>
        <v>1628</v>
      </c>
      <c r="F44">
        <f t="shared" si="6"/>
        <v>2009</v>
      </c>
      <c r="H44">
        <f t="shared" si="8"/>
        <v>5122</v>
      </c>
      <c r="I44">
        <f t="shared" si="9"/>
        <v>7029</v>
      </c>
      <c r="J44">
        <f t="shared" si="10"/>
        <v>5076</v>
      </c>
      <c r="K44">
        <f t="shared" si="11"/>
        <v>3003</v>
      </c>
      <c r="L44">
        <f t="shared" si="12"/>
        <v>1575</v>
      </c>
      <c r="Q44">
        <f t="shared" si="16"/>
        <v>1463</v>
      </c>
      <c r="U44">
        <f t="shared" si="20"/>
        <v>1897</v>
      </c>
      <c r="W44">
        <f t="shared" si="22"/>
        <v>1360</v>
      </c>
      <c r="X44">
        <f t="shared" si="23"/>
        <v>516</v>
      </c>
      <c r="Y44">
        <f t="shared" si="24"/>
        <v>-261</v>
      </c>
      <c r="Z44">
        <f t="shared" si="25"/>
        <v>250</v>
      </c>
      <c r="AC44">
        <f t="shared" si="27"/>
        <v>5821.9639999999999</v>
      </c>
      <c r="AD44">
        <f t="shared" si="28"/>
        <v>1908.6559999999999</v>
      </c>
      <c r="AE44">
        <f t="shared" si="29"/>
        <v>2796.2860000000001</v>
      </c>
      <c r="AF44">
        <f t="shared" si="30"/>
        <v>2877.7469999999998</v>
      </c>
      <c r="AG44">
        <f t="shared" si="31"/>
        <v>5683.1139999999996</v>
      </c>
      <c r="AH44">
        <f t="shared" si="32"/>
        <v>7054.65</v>
      </c>
      <c r="AI44">
        <f t="shared" si="33"/>
        <v>8996.8310000000001</v>
      </c>
      <c r="AJ44">
        <f t="shared" si="34"/>
        <v>6932.4130000000005</v>
      </c>
      <c r="AK44">
        <f t="shared" si="35"/>
        <v>7727.7309999999998</v>
      </c>
      <c r="AL44">
        <f t="shared" si="36"/>
        <v>5867.7019999999993</v>
      </c>
      <c r="AY44">
        <f t="shared" si="48"/>
        <v>3523</v>
      </c>
    </row>
    <row r="45" spans="1:52">
      <c r="B45">
        <f t="shared" si="2"/>
        <v>2914.355</v>
      </c>
      <c r="C45">
        <f t="shared" si="3"/>
        <v>3327.1030000000001</v>
      </c>
      <c r="F45">
        <f t="shared" si="6"/>
        <v>1455</v>
      </c>
      <c r="H45">
        <f t="shared" si="8"/>
        <v>5573</v>
      </c>
      <c r="J45">
        <f t="shared" si="10"/>
        <v>4006</v>
      </c>
      <c r="L45">
        <f t="shared" si="12"/>
        <v>1067</v>
      </c>
      <c r="X45">
        <f t="shared" si="23"/>
        <v>752</v>
      </c>
      <c r="Z45">
        <f t="shared" si="25"/>
        <v>293</v>
      </c>
      <c r="AD45">
        <f t="shared" si="28"/>
        <v>1751.1610000000001</v>
      </c>
      <c r="AF45">
        <f t="shared" si="30"/>
        <v>4818.7079999999996</v>
      </c>
      <c r="AG45">
        <f t="shared" si="31"/>
        <v>4056.1350000000002</v>
      </c>
      <c r="AH45">
        <f t="shared" si="32"/>
        <v>8232.6540000000005</v>
      </c>
      <c r="AI45">
        <f t="shared" si="33"/>
        <v>7064.75</v>
      </c>
      <c r="AJ45">
        <f t="shared" si="34"/>
        <v>6144.0470000000005</v>
      </c>
      <c r="AK45">
        <f t="shared" si="35"/>
        <v>7771.3019999999997</v>
      </c>
      <c r="AL45">
        <f t="shared" si="36"/>
        <v>6353.8169999999991</v>
      </c>
    </row>
    <row r="46" spans="1:52">
      <c r="B46">
        <f t="shared" si="2"/>
        <v>2308.96</v>
      </c>
      <c r="F46">
        <f t="shared" si="6"/>
        <v>2120</v>
      </c>
      <c r="H46">
        <f t="shared" si="8"/>
        <v>4917</v>
      </c>
      <c r="J46">
        <f t="shared" si="10"/>
        <v>5872</v>
      </c>
      <c r="L46">
        <f t="shared" si="12"/>
        <v>843</v>
      </c>
      <c r="X46">
        <f t="shared" si="23"/>
        <v>315</v>
      </c>
      <c r="Z46">
        <f t="shared" si="25"/>
        <v>1031</v>
      </c>
      <c r="AD46">
        <f t="shared" si="28"/>
        <v>2964.8330000000001</v>
      </c>
      <c r="AG46">
        <f t="shared" si="31"/>
        <v>5390.2690000000002</v>
      </c>
      <c r="AH46">
        <f t="shared" si="32"/>
        <v>6167.616</v>
      </c>
      <c r="AI46">
        <f t="shared" si="33"/>
        <v>8638.2999999999993</v>
      </c>
      <c r="AJ46">
        <f t="shared" si="34"/>
        <v>5227.26</v>
      </c>
      <c r="AK46">
        <f t="shared" si="35"/>
        <v>7827.8240000000005</v>
      </c>
      <c r="AL46">
        <f t="shared" si="36"/>
        <v>8418.6730000000007</v>
      </c>
    </row>
    <row r="47" spans="1:52">
      <c r="F47">
        <f t="shared" si="6"/>
        <v>1965</v>
      </c>
      <c r="J47">
        <f t="shared" si="10"/>
        <v>4866</v>
      </c>
      <c r="L47">
        <f t="shared" si="12"/>
        <v>2830</v>
      </c>
      <c r="X47">
        <f t="shared" si="23"/>
        <v>933</v>
      </c>
      <c r="AG47">
        <f t="shared" si="31"/>
        <v>5594.1930000000002</v>
      </c>
      <c r="AH47">
        <f t="shared" si="32"/>
        <v>6712.2530000000006</v>
      </c>
      <c r="AI47">
        <f t="shared" si="33"/>
        <v>8627.73</v>
      </c>
      <c r="AK47">
        <f t="shared" si="35"/>
        <v>5470.5640000000003</v>
      </c>
    </row>
    <row r="48" spans="1:52">
      <c r="J48">
        <f t="shared" si="10"/>
        <v>5455</v>
      </c>
      <c r="L48">
        <f t="shared" si="12"/>
        <v>2501</v>
      </c>
      <c r="X48">
        <f t="shared" si="23"/>
        <v>430</v>
      </c>
      <c r="AG48">
        <f t="shared" si="31"/>
        <v>4524.7389999999996</v>
      </c>
      <c r="AH48">
        <f t="shared" si="32"/>
        <v>3847.2650000000003</v>
      </c>
      <c r="AI48">
        <f t="shared" si="33"/>
        <v>6090.3080000000009</v>
      </c>
    </row>
    <row r="49" spans="1:52">
      <c r="J49">
        <f t="shared" si="10"/>
        <v>4833</v>
      </c>
      <c r="L49">
        <f t="shared" si="12"/>
        <v>697</v>
      </c>
      <c r="AH49">
        <f t="shared" si="32"/>
        <v>5269.4650000000001</v>
      </c>
      <c r="AI49">
        <f t="shared" si="33"/>
        <v>5431.6290000000008</v>
      </c>
    </row>
    <row r="50" spans="1:52">
      <c r="J50">
        <f t="shared" si="10"/>
        <v>2429</v>
      </c>
      <c r="L50">
        <f>L13-813</f>
        <v>1656</v>
      </c>
      <c r="AH50">
        <f t="shared" si="32"/>
        <v>4323.2430000000004</v>
      </c>
      <c r="AI50">
        <f t="shared" si="33"/>
        <v>6501.8289999999997</v>
      </c>
    </row>
    <row r="51" spans="1:52">
      <c r="L51">
        <f t="shared" si="12"/>
        <v>1142</v>
      </c>
    </row>
    <row r="52" spans="1:52">
      <c r="L52">
        <f>L15-813</f>
        <v>1924</v>
      </c>
    </row>
    <row r="54" spans="1:52">
      <c r="A54" t="s">
        <v>12</v>
      </c>
      <c r="B54">
        <f>AVERAGE(B39:B52)</f>
        <v>2362.3401249999997</v>
      </c>
      <c r="C54">
        <f t="shared" ref="C54:AZ54" si="50">AVERAGE(C39:C52)</f>
        <v>5151.9422857142863</v>
      </c>
      <c r="D54">
        <f t="shared" si="50"/>
        <v>1616.3333333333333</v>
      </c>
      <c r="E54">
        <f t="shared" si="50"/>
        <v>1588.6</v>
      </c>
      <c r="F54">
        <f t="shared" si="50"/>
        <v>2157.8888888888887</v>
      </c>
      <c r="G54">
        <f t="shared" si="50"/>
        <v>2925.2</v>
      </c>
      <c r="H54">
        <f t="shared" si="50"/>
        <v>5148.75</v>
      </c>
      <c r="I54">
        <f t="shared" si="50"/>
        <v>5288.666666666667</v>
      </c>
      <c r="J54">
        <f t="shared" si="50"/>
        <v>4746.833333333333</v>
      </c>
      <c r="K54">
        <f t="shared" si="50"/>
        <v>2821.6666666666665</v>
      </c>
      <c r="L54">
        <f t="shared" si="50"/>
        <v>1448.3571428571429</v>
      </c>
      <c r="M54">
        <f t="shared" si="50"/>
        <v>610.4</v>
      </c>
      <c r="O54">
        <f t="shared" si="50"/>
        <v>2539.6</v>
      </c>
      <c r="P54">
        <f t="shared" si="50"/>
        <v>3792.6</v>
      </c>
      <c r="Q54">
        <f t="shared" si="50"/>
        <v>1466.3333333333333</v>
      </c>
      <c r="R54">
        <f t="shared" si="50"/>
        <v>1751.4</v>
      </c>
      <c r="S54">
        <f t="shared" si="50"/>
        <v>2635</v>
      </c>
      <c r="T54">
        <f t="shared" si="50"/>
        <v>2867.8</v>
      </c>
      <c r="U54">
        <f t="shared" si="50"/>
        <v>3171.8333333333335</v>
      </c>
      <c r="V54">
        <f t="shared" si="50"/>
        <v>2990</v>
      </c>
      <c r="W54">
        <f t="shared" si="50"/>
        <v>2340.1666666666665</v>
      </c>
      <c r="X54">
        <f t="shared" si="50"/>
        <v>1080.7</v>
      </c>
      <c r="Y54">
        <f t="shared" si="50"/>
        <v>-98.5</v>
      </c>
      <c r="Z54">
        <f t="shared" si="50"/>
        <v>731.25</v>
      </c>
      <c r="AB54">
        <f t="shared" si="50"/>
        <v>2913.3683333333333</v>
      </c>
      <c r="AC54">
        <f t="shared" si="50"/>
        <v>4982.0518333333339</v>
      </c>
      <c r="AD54">
        <f t="shared" si="50"/>
        <v>2417.3367499999999</v>
      </c>
      <c r="AE54">
        <f t="shared" si="50"/>
        <v>2388.9136666666668</v>
      </c>
      <c r="AF54">
        <f t="shared" si="50"/>
        <v>3559.8061428571423</v>
      </c>
      <c r="AG54">
        <f t="shared" si="50"/>
        <v>4814.7498000000005</v>
      </c>
      <c r="AH54">
        <f t="shared" si="50"/>
        <v>5721.8590833333337</v>
      </c>
      <c r="AI54">
        <f t="shared" si="50"/>
        <v>7626.8054166666661</v>
      </c>
      <c r="AJ54">
        <f t="shared" si="50"/>
        <v>6810.8068750000002</v>
      </c>
      <c r="AK54">
        <f t="shared" si="50"/>
        <v>6942.4211111111108</v>
      </c>
      <c r="AL54">
        <f t="shared" si="50"/>
        <v>8042.4824999999992</v>
      </c>
      <c r="AM54">
        <f t="shared" si="50"/>
        <v>7691.768</v>
      </c>
      <c r="AO54">
        <f t="shared" si="50"/>
        <v>1927.5</v>
      </c>
      <c r="AP54">
        <f t="shared" si="50"/>
        <v>3905.75</v>
      </c>
      <c r="AQ54">
        <f t="shared" si="50"/>
        <v>1105.75</v>
      </c>
      <c r="AR54">
        <f t="shared" si="50"/>
        <v>1613.75</v>
      </c>
      <c r="AS54">
        <f t="shared" si="50"/>
        <v>1550.25</v>
      </c>
      <c r="AT54">
        <f t="shared" si="50"/>
        <v>2589.5</v>
      </c>
      <c r="AU54">
        <f t="shared" si="50"/>
        <v>3644.5</v>
      </c>
      <c r="AV54">
        <f t="shared" si="50"/>
        <v>4615.25</v>
      </c>
      <c r="AW54">
        <f t="shared" si="50"/>
        <v>3400.3333333333335</v>
      </c>
      <c r="AX54">
        <f t="shared" si="50"/>
        <v>2756.2</v>
      </c>
      <c r="AY54">
        <f t="shared" si="50"/>
        <v>3227.5</v>
      </c>
      <c r="AZ54">
        <f t="shared" si="50"/>
        <v>2990.4</v>
      </c>
    </row>
    <row r="55" spans="1:52">
      <c r="A55" t="s">
        <v>13</v>
      </c>
      <c r="B55">
        <f>STDEV(B39:B52)</f>
        <v>319.8888683395449</v>
      </c>
      <c r="C55">
        <f t="shared" ref="C55:AZ55" si="51">STDEV(C39:C52)</f>
        <v>1213.1360619362624</v>
      </c>
      <c r="D55">
        <f t="shared" si="51"/>
        <v>387.90754912306977</v>
      </c>
      <c r="E55">
        <f t="shared" si="51"/>
        <v>278.56112435155018</v>
      </c>
      <c r="F55">
        <f t="shared" si="51"/>
        <v>415.53412749268983</v>
      </c>
      <c r="G55">
        <f t="shared" si="51"/>
        <v>627.54497846767867</v>
      </c>
      <c r="H55">
        <f t="shared" si="51"/>
        <v>422.54222105184778</v>
      </c>
      <c r="I55">
        <f t="shared" si="51"/>
        <v>1204.6011234706152</v>
      </c>
      <c r="J55">
        <f t="shared" si="51"/>
        <v>1091.6957479355719</v>
      </c>
      <c r="K55">
        <f t="shared" si="51"/>
        <v>444.71009283202375</v>
      </c>
      <c r="L55">
        <f t="shared" si="51"/>
        <v>640.13827918936101</v>
      </c>
      <c r="M55">
        <f t="shared" si="51"/>
        <v>467.67755986363085</v>
      </c>
      <c r="O55">
        <f t="shared" si="51"/>
        <v>636.0812055075985</v>
      </c>
      <c r="P55">
        <f t="shared" si="51"/>
        <v>873.35634193609701</v>
      </c>
      <c r="Q55">
        <f t="shared" si="51"/>
        <v>415.57750981816474</v>
      </c>
      <c r="R55">
        <f t="shared" si="51"/>
        <v>180.48628756778172</v>
      </c>
      <c r="S55">
        <f t="shared" si="51"/>
        <v>339.19168621886945</v>
      </c>
      <c r="T55">
        <f t="shared" si="51"/>
        <v>1071.7395672456996</v>
      </c>
      <c r="U55">
        <f t="shared" si="51"/>
        <v>998.18824209998945</v>
      </c>
      <c r="V55">
        <f t="shared" si="51"/>
        <v>941.93878074249949</v>
      </c>
      <c r="W55">
        <f t="shared" si="51"/>
        <v>1131.5437979445014</v>
      </c>
      <c r="X55">
        <f t="shared" si="51"/>
        <v>719.2193375845477</v>
      </c>
      <c r="Y55">
        <f t="shared" si="51"/>
        <v>270.49491677294048</v>
      </c>
      <c r="Z55">
        <f t="shared" si="51"/>
        <v>458.23161641872144</v>
      </c>
      <c r="AB55">
        <f t="shared" si="51"/>
        <v>317.93549708759065</v>
      </c>
      <c r="AC55">
        <f t="shared" si="51"/>
        <v>831.31526274101202</v>
      </c>
      <c r="AD55">
        <f t="shared" si="51"/>
        <v>593.76942433953366</v>
      </c>
      <c r="AE55">
        <f t="shared" si="51"/>
        <v>429.5040508710789</v>
      </c>
      <c r="AF55">
        <f t="shared" si="51"/>
        <v>1226.6674845404573</v>
      </c>
      <c r="AG55">
        <f t="shared" si="51"/>
        <v>629.11324243003924</v>
      </c>
      <c r="AH55">
        <f t="shared" si="51"/>
        <v>1416.4735340992199</v>
      </c>
      <c r="AI55">
        <f t="shared" si="51"/>
        <v>1426.7105917344188</v>
      </c>
      <c r="AJ55">
        <f t="shared" si="51"/>
        <v>1075.9911598238075</v>
      </c>
      <c r="AK55">
        <f t="shared" si="51"/>
        <v>1093.1791912351871</v>
      </c>
      <c r="AL55">
        <f t="shared" si="51"/>
        <v>1225.8443359690636</v>
      </c>
      <c r="AM55">
        <f t="shared" si="51"/>
        <v>1219.3802503258194</v>
      </c>
      <c r="AO55">
        <f t="shared" si="51"/>
        <v>476.56164344185316</v>
      </c>
      <c r="AP55">
        <f t="shared" si="51"/>
        <v>822.30423202121483</v>
      </c>
      <c r="AQ55">
        <f t="shared" si="51"/>
        <v>301.1437917894595</v>
      </c>
      <c r="AR55">
        <f t="shared" si="51"/>
        <v>256.44541329491545</v>
      </c>
      <c r="AS55">
        <f t="shared" si="51"/>
        <v>181.23718345490437</v>
      </c>
      <c r="AT55">
        <f t="shared" si="51"/>
        <v>325.27373087908592</v>
      </c>
      <c r="AU55">
        <f t="shared" si="51"/>
        <v>731.27764904993512</v>
      </c>
      <c r="AV55">
        <f t="shared" si="51"/>
        <v>382.20184457953627</v>
      </c>
      <c r="AW55">
        <f t="shared" si="51"/>
        <v>754.38871500926632</v>
      </c>
      <c r="AX55">
        <f t="shared" si="51"/>
        <v>853.06810982476611</v>
      </c>
      <c r="AY55">
        <f t="shared" si="51"/>
        <v>1369.6118793293231</v>
      </c>
      <c r="AZ55">
        <f t="shared" si="51"/>
        <v>1303.0409817039526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9"/>
  <sheetViews>
    <sheetView topLeftCell="AI1" zoomScale="50" zoomScaleNormal="50" zoomScalePageLayoutView="50" workbookViewId="0">
      <selection activeCell="BC79" sqref="BC79"/>
    </sheetView>
  </sheetViews>
  <sheetFormatPr baseColWidth="10" defaultRowHeight="15" x14ac:dyDescent="0"/>
  <cols>
    <col min="1" max="1" width="31.83203125" customWidth="1"/>
  </cols>
  <sheetData>
    <row r="1" spans="1:65">
      <c r="A1" t="s">
        <v>125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B1" t="s">
        <v>61</v>
      </c>
      <c r="AC1" t="s">
        <v>62</v>
      </c>
      <c r="AD1" t="s">
        <v>63</v>
      </c>
      <c r="AE1" t="s">
        <v>64</v>
      </c>
      <c r="AF1" t="s">
        <v>65</v>
      </c>
      <c r="AG1" t="s">
        <v>66</v>
      </c>
      <c r="AH1" t="s">
        <v>67</v>
      </c>
      <c r="AI1" t="s">
        <v>68</v>
      </c>
      <c r="AJ1" t="s">
        <v>69</v>
      </c>
      <c r="AK1" t="s">
        <v>70</v>
      </c>
      <c r="AL1" t="s">
        <v>71</v>
      </c>
      <c r="AM1" t="s">
        <v>72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B1" t="s">
        <v>138</v>
      </c>
      <c r="BC1" t="s">
        <v>139</v>
      </c>
      <c r="BD1" t="s">
        <v>140</v>
      </c>
      <c r="BE1" t="s">
        <v>141</v>
      </c>
      <c r="BF1" t="s">
        <v>142</v>
      </c>
      <c r="BG1" t="s">
        <v>143</v>
      </c>
      <c r="BH1" t="s">
        <v>144</v>
      </c>
      <c r="BI1" t="s">
        <v>145</v>
      </c>
      <c r="BJ1" t="s">
        <v>146</v>
      </c>
      <c r="BK1" t="s">
        <v>147</v>
      </c>
      <c r="BL1" t="s">
        <v>148</v>
      </c>
      <c r="BM1" t="s">
        <v>149</v>
      </c>
    </row>
    <row r="2" spans="1:65">
      <c r="B2">
        <v>1588</v>
      </c>
      <c r="C2">
        <v>4594</v>
      </c>
      <c r="D2">
        <v>1160</v>
      </c>
      <c r="E2">
        <v>1234</v>
      </c>
      <c r="F2">
        <v>2380</v>
      </c>
      <c r="G2">
        <v>2974</v>
      </c>
      <c r="H2">
        <v>4898</v>
      </c>
      <c r="I2">
        <v>5332</v>
      </c>
      <c r="J2">
        <v>2917</v>
      </c>
      <c r="K2">
        <v>2662</v>
      </c>
      <c r="L2">
        <v>1229</v>
      </c>
      <c r="M2">
        <v>873</v>
      </c>
      <c r="O2">
        <v>1606</v>
      </c>
      <c r="P2">
        <v>3042</v>
      </c>
      <c r="Q2">
        <v>1095</v>
      </c>
      <c r="R2">
        <v>1151</v>
      </c>
      <c r="S2">
        <v>1791</v>
      </c>
      <c r="T2">
        <v>2694</v>
      </c>
      <c r="U2">
        <v>3538</v>
      </c>
      <c r="V2">
        <v>3399</v>
      </c>
      <c r="W2">
        <v>2637</v>
      </c>
      <c r="X2">
        <v>2253</v>
      </c>
      <c r="Y2">
        <v>913</v>
      </c>
      <c r="Z2">
        <v>1247</v>
      </c>
      <c r="AB2">
        <v>1852.3589999999999</v>
      </c>
      <c r="AC2">
        <v>4660.0879999999997</v>
      </c>
      <c r="AD2">
        <v>2381.779</v>
      </c>
      <c r="AE2">
        <v>2697.6080000000002</v>
      </c>
      <c r="AF2">
        <v>3492.5239999999999</v>
      </c>
      <c r="AG2">
        <v>4978.6869999999999</v>
      </c>
      <c r="AH2">
        <v>5958.5749999999998</v>
      </c>
      <c r="AI2">
        <v>5903.5150000000003</v>
      </c>
      <c r="AJ2">
        <v>5198.0940000000001</v>
      </c>
      <c r="AK2">
        <v>6534.4750000000004</v>
      </c>
      <c r="AL2">
        <v>7235.9210000000003</v>
      </c>
      <c r="AM2">
        <v>6630.3450000000003</v>
      </c>
      <c r="AO2">
        <v>1599</v>
      </c>
      <c r="AP2">
        <v>2292</v>
      </c>
      <c r="AQ2">
        <v>890</v>
      </c>
      <c r="AR2">
        <v>1069</v>
      </c>
      <c r="AS2">
        <v>1016</v>
      </c>
      <c r="AT2">
        <v>1458</v>
      </c>
      <c r="AU2">
        <v>1771</v>
      </c>
      <c r="AV2">
        <v>1371</v>
      </c>
      <c r="AW2">
        <v>1254</v>
      </c>
      <c r="AX2">
        <v>967</v>
      </c>
      <c r="AY2">
        <v>540</v>
      </c>
      <c r="AZ2">
        <v>548</v>
      </c>
      <c r="BB2" s="3">
        <v>1588</v>
      </c>
      <c r="BC2" s="3">
        <v>4594</v>
      </c>
      <c r="BD2" s="3">
        <v>1160</v>
      </c>
      <c r="BE2" s="3">
        <v>1234</v>
      </c>
      <c r="BF2" s="3">
        <v>2380</v>
      </c>
      <c r="BG2" s="3">
        <v>2974</v>
      </c>
      <c r="BH2" s="3">
        <v>4898</v>
      </c>
      <c r="BI2" s="3">
        <v>5332</v>
      </c>
      <c r="BJ2" s="3">
        <v>2917</v>
      </c>
      <c r="BK2" s="3">
        <v>2662</v>
      </c>
      <c r="BL2" s="3">
        <v>1229</v>
      </c>
      <c r="BM2" s="3">
        <v>873</v>
      </c>
    </row>
    <row r="3" spans="1:65">
      <c r="B3">
        <v>1929</v>
      </c>
      <c r="C3">
        <v>2861</v>
      </c>
      <c r="D3">
        <v>1999</v>
      </c>
      <c r="E3">
        <v>1364</v>
      </c>
      <c r="F3">
        <v>2517</v>
      </c>
      <c r="G3">
        <v>3237</v>
      </c>
      <c r="H3">
        <v>4190</v>
      </c>
      <c r="I3">
        <v>5025</v>
      </c>
      <c r="J3">
        <v>3418</v>
      </c>
      <c r="K3">
        <v>3011</v>
      </c>
      <c r="L3">
        <v>2083</v>
      </c>
      <c r="M3">
        <v>1172</v>
      </c>
      <c r="O3">
        <v>1460</v>
      </c>
      <c r="P3">
        <v>2831</v>
      </c>
      <c r="Q3">
        <v>1655</v>
      </c>
      <c r="R3">
        <v>1185</v>
      </c>
      <c r="S3">
        <v>1912</v>
      </c>
      <c r="T3">
        <v>1987</v>
      </c>
      <c r="U3">
        <v>2612</v>
      </c>
      <c r="V3">
        <v>1376</v>
      </c>
      <c r="W3">
        <v>1353</v>
      </c>
      <c r="X3">
        <v>2203</v>
      </c>
      <c r="Y3">
        <v>1048</v>
      </c>
      <c r="Z3">
        <v>657</v>
      </c>
      <c r="AB3">
        <v>2763.2190000000001</v>
      </c>
      <c r="AC3">
        <v>3891.4679999999998</v>
      </c>
      <c r="AD3">
        <v>2380.9290000000001</v>
      </c>
      <c r="AE3">
        <v>2601.4859999999999</v>
      </c>
      <c r="AF3">
        <v>2223.7890000000002</v>
      </c>
      <c r="AG3">
        <v>5804.799</v>
      </c>
      <c r="AH3">
        <v>4949.7280000000001</v>
      </c>
      <c r="AI3">
        <v>5658.21</v>
      </c>
      <c r="AJ3">
        <v>6974.2039999999997</v>
      </c>
      <c r="AK3">
        <v>5627.5460000000003</v>
      </c>
      <c r="AL3">
        <v>5838.5770000000002</v>
      </c>
      <c r="AM3">
        <v>5912.8360000000002</v>
      </c>
      <c r="AO3">
        <v>1188</v>
      </c>
      <c r="AP3">
        <v>2189</v>
      </c>
      <c r="AQ3">
        <v>741</v>
      </c>
      <c r="AR3">
        <v>1111</v>
      </c>
      <c r="AS3">
        <v>1028</v>
      </c>
      <c r="AT3">
        <v>897</v>
      </c>
      <c r="AU3">
        <v>1495</v>
      </c>
      <c r="AV3">
        <v>783</v>
      </c>
      <c r="AW3">
        <v>858</v>
      </c>
      <c r="AX3">
        <v>758</v>
      </c>
      <c r="AY3">
        <v>725</v>
      </c>
      <c r="AZ3">
        <v>555</v>
      </c>
      <c r="BB3" s="3">
        <v>1929</v>
      </c>
      <c r="BC3" s="3">
        <v>2861</v>
      </c>
      <c r="BD3" s="3">
        <v>1999</v>
      </c>
      <c r="BE3" s="3">
        <v>1364</v>
      </c>
      <c r="BF3" s="3">
        <v>2517</v>
      </c>
      <c r="BG3" s="3">
        <v>3237</v>
      </c>
      <c r="BH3" s="3">
        <v>4190</v>
      </c>
      <c r="BI3" s="3">
        <v>5025</v>
      </c>
      <c r="BJ3" s="3">
        <v>3418</v>
      </c>
      <c r="BK3" s="3">
        <v>3011</v>
      </c>
      <c r="BL3" s="3">
        <v>2083</v>
      </c>
      <c r="BM3" s="3">
        <v>1172</v>
      </c>
    </row>
    <row r="4" spans="1:65">
      <c r="B4">
        <v>1926</v>
      </c>
      <c r="C4">
        <v>3478</v>
      </c>
      <c r="D4">
        <v>1614</v>
      </c>
      <c r="E4">
        <v>1496</v>
      </c>
      <c r="F4">
        <v>1998</v>
      </c>
      <c r="G4">
        <v>3201</v>
      </c>
      <c r="H4">
        <v>4605</v>
      </c>
      <c r="I4">
        <v>3369</v>
      </c>
      <c r="J4">
        <v>2930</v>
      </c>
      <c r="K4">
        <v>2947</v>
      </c>
      <c r="L4">
        <v>1417</v>
      </c>
      <c r="M4">
        <v>1422</v>
      </c>
      <c r="O4">
        <v>1258</v>
      </c>
      <c r="P4">
        <v>2576</v>
      </c>
      <c r="Q4">
        <v>814</v>
      </c>
      <c r="R4">
        <v>1414</v>
      </c>
      <c r="S4">
        <v>1533</v>
      </c>
      <c r="T4">
        <v>2604</v>
      </c>
      <c r="U4">
        <v>2696</v>
      </c>
      <c r="V4">
        <v>3130</v>
      </c>
      <c r="W4">
        <v>1817</v>
      </c>
      <c r="X4">
        <v>1725</v>
      </c>
      <c r="Y4">
        <v>1376</v>
      </c>
      <c r="Z4">
        <v>703</v>
      </c>
      <c r="AB4">
        <v>1621.94</v>
      </c>
      <c r="AC4">
        <v>3891.17</v>
      </c>
      <c r="AD4">
        <v>2157.2910000000002</v>
      </c>
      <c r="AE4">
        <v>2433</v>
      </c>
      <c r="AF4">
        <v>3399.6179999999999</v>
      </c>
      <c r="AG4">
        <v>4627.1049999999996</v>
      </c>
      <c r="AH4">
        <v>5867.8869999999997</v>
      </c>
      <c r="AI4">
        <v>5810.25</v>
      </c>
      <c r="AJ4">
        <v>4292.0959999999995</v>
      </c>
      <c r="AK4">
        <v>5193.6930000000002</v>
      </c>
      <c r="AL4">
        <v>5600.53</v>
      </c>
      <c r="AO4">
        <v>2033</v>
      </c>
      <c r="AP4">
        <v>2016</v>
      </c>
      <c r="AQ4">
        <v>614</v>
      </c>
      <c r="AR4">
        <v>672</v>
      </c>
      <c r="AS4">
        <v>1220</v>
      </c>
      <c r="AT4">
        <v>933</v>
      </c>
      <c r="AU4">
        <v>1081</v>
      </c>
      <c r="AV4">
        <v>1214</v>
      </c>
      <c r="AW4">
        <v>981</v>
      </c>
      <c r="AX4">
        <v>602</v>
      </c>
      <c r="AY4">
        <v>854</v>
      </c>
      <c r="AZ4">
        <v>931</v>
      </c>
      <c r="BB4" s="3">
        <v>1926</v>
      </c>
      <c r="BC4" s="3">
        <v>3478</v>
      </c>
      <c r="BD4" s="3">
        <v>1614</v>
      </c>
      <c r="BE4" s="3">
        <v>1496</v>
      </c>
      <c r="BF4" s="3">
        <v>1998</v>
      </c>
      <c r="BG4" s="3">
        <v>3201</v>
      </c>
      <c r="BH4" s="3">
        <v>4605</v>
      </c>
      <c r="BI4" s="3">
        <v>3369</v>
      </c>
      <c r="BJ4" s="3">
        <v>2930</v>
      </c>
      <c r="BK4" s="3">
        <v>2947</v>
      </c>
      <c r="BL4" s="3">
        <v>1417</v>
      </c>
      <c r="BM4" s="3">
        <v>1422</v>
      </c>
    </row>
    <row r="5" spans="1:65">
      <c r="B5">
        <v>2045</v>
      </c>
      <c r="C5">
        <v>3825</v>
      </c>
      <c r="D5">
        <v>1277</v>
      </c>
      <c r="E5">
        <v>1819</v>
      </c>
      <c r="F5">
        <v>2164</v>
      </c>
      <c r="G5">
        <v>2059</v>
      </c>
      <c r="H5">
        <v>4054</v>
      </c>
      <c r="I5">
        <v>3876</v>
      </c>
      <c r="J5">
        <v>3022</v>
      </c>
      <c r="K5">
        <v>1864</v>
      </c>
      <c r="L5">
        <v>2637</v>
      </c>
      <c r="M5">
        <v>740</v>
      </c>
      <c r="O5">
        <v>1350</v>
      </c>
      <c r="P5">
        <v>2136</v>
      </c>
      <c r="Q5">
        <v>1152</v>
      </c>
      <c r="R5">
        <v>1170</v>
      </c>
      <c r="S5">
        <v>1643</v>
      </c>
      <c r="T5">
        <v>1463</v>
      </c>
      <c r="U5">
        <v>3203</v>
      </c>
      <c r="V5">
        <v>2917</v>
      </c>
      <c r="W5">
        <v>2118</v>
      </c>
      <c r="X5">
        <v>1263</v>
      </c>
      <c r="Y5">
        <v>1018</v>
      </c>
      <c r="Z5">
        <v>1031</v>
      </c>
      <c r="AB5">
        <v>2066.0889999999999</v>
      </c>
      <c r="AC5">
        <v>3045.9490000000001</v>
      </c>
      <c r="AD5">
        <v>2092.415</v>
      </c>
      <c r="AE5">
        <v>2247.4070000000002</v>
      </c>
      <c r="AF5">
        <v>3540.482</v>
      </c>
      <c r="AG5">
        <v>3852.7020000000002</v>
      </c>
      <c r="AH5">
        <v>4424.6540000000005</v>
      </c>
      <c r="AI5">
        <v>5027.2690000000002</v>
      </c>
      <c r="AJ5">
        <v>5797.7610000000004</v>
      </c>
      <c r="AK5">
        <v>4790.0039999999999</v>
      </c>
      <c r="AL5">
        <v>6605.0649999999996</v>
      </c>
      <c r="AP5">
        <v>3335</v>
      </c>
      <c r="AQ5">
        <v>657</v>
      </c>
      <c r="AR5">
        <v>749</v>
      </c>
      <c r="AS5">
        <v>1127</v>
      </c>
      <c r="AT5">
        <v>1414</v>
      </c>
      <c r="AU5">
        <v>1080</v>
      </c>
      <c r="AV5">
        <v>953</v>
      </c>
      <c r="AW5">
        <v>1053</v>
      </c>
      <c r="AX5">
        <v>978</v>
      </c>
      <c r="AY5">
        <v>618</v>
      </c>
      <c r="AZ5">
        <v>566</v>
      </c>
      <c r="BB5" s="3">
        <v>2045</v>
      </c>
      <c r="BC5" s="3">
        <v>3825</v>
      </c>
      <c r="BD5" s="3">
        <v>1277</v>
      </c>
      <c r="BE5" s="3">
        <v>1819</v>
      </c>
      <c r="BF5" s="3">
        <v>2164</v>
      </c>
      <c r="BG5" s="3">
        <v>2059</v>
      </c>
      <c r="BH5" s="3">
        <v>4054</v>
      </c>
      <c r="BI5" s="3">
        <v>3876</v>
      </c>
      <c r="BJ5" s="3">
        <v>3022</v>
      </c>
      <c r="BK5" s="3">
        <v>1864</v>
      </c>
      <c r="BL5" s="3">
        <v>2637</v>
      </c>
      <c r="BM5" s="3">
        <v>740</v>
      </c>
    </row>
    <row r="6" spans="1:65">
      <c r="B6">
        <v>1838</v>
      </c>
      <c r="C6">
        <v>4250</v>
      </c>
      <c r="D6">
        <v>1504</v>
      </c>
      <c r="E6">
        <v>2007</v>
      </c>
      <c r="F6">
        <v>2234</v>
      </c>
      <c r="G6">
        <v>3166</v>
      </c>
      <c r="H6">
        <v>5032</v>
      </c>
      <c r="I6">
        <v>3594</v>
      </c>
      <c r="J6">
        <v>3473</v>
      </c>
      <c r="K6">
        <v>1822</v>
      </c>
      <c r="M6">
        <v>928</v>
      </c>
      <c r="O6">
        <v>1540</v>
      </c>
      <c r="P6">
        <v>2967</v>
      </c>
      <c r="R6">
        <v>1290</v>
      </c>
      <c r="S6">
        <v>2425</v>
      </c>
      <c r="T6">
        <v>1587</v>
      </c>
      <c r="U6">
        <v>2845</v>
      </c>
      <c r="V6">
        <v>3322</v>
      </c>
      <c r="W6">
        <v>1822</v>
      </c>
      <c r="X6">
        <v>1652</v>
      </c>
      <c r="Y6">
        <v>857</v>
      </c>
      <c r="AB6">
        <v>2166.3380000000002</v>
      </c>
      <c r="AC6">
        <v>4379.4080000000004</v>
      </c>
      <c r="AD6">
        <v>2279.4839999999999</v>
      </c>
      <c r="AE6">
        <v>1925.2159999999999</v>
      </c>
      <c r="AF6">
        <v>3432.8760000000002</v>
      </c>
      <c r="AG6">
        <v>4794.6589999999997</v>
      </c>
      <c r="AH6">
        <v>4481.6139999999996</v>
      </c>
      <c r="AI6">
        <v>5165.5209999999997</v>
      </c>
      <c r="AJ6">
        <v>4729.9260000000004</v>
      </c>
      <c r="AK6">
        <v>6087.6459999999997</v>
      </c>
      <c r="AT6">
        <v>1205</v>
      </c>
      <c r="AU6">
        <v>1240</v>
      </c>
      <c r="AV6">
        <v>1640</v>
      </c>
      <c r="AW6">
        <v>1026</v>
      </c>
      <c r="AY6">
        <v>705</v>
      </c>
      <c r="BB6" s="3">
        <v>1838</v>
      </c>
      <c r="BC6" s="3">
        <v>4250</v>
      </c>
      <c r="BD6" s="3">
        <v>1504</v>
      </c>
      <c r="BE6" s="3">
        <v>2007</v>
      </c>
      <c r="BF6" s="3">
        <v>2234</v>
      </c>
      <c r="BG6" s="3">
        <v>3166</v>
      </c>
      <c r="BH6" s="3">
        <v>5032</v>
      </c>
      <c r="BI6" s="3">
        <v>3594</v>
      </c>
      <c r="BJ6" s="3">
        <v>3473</v>
      </c>
      <c r="BK6" s="3">
        <v>1822</v>
      </c>
      <c r="BL6" s="3">
        <v>913</v>
      </c>
      <c r="BM6" s="3">
        <v>928</v>
      </c>
    </row>
    <row r="7" spans="1:65">
      <c r="B7">
        <v>1673</v>
      </c>
      <c r="D7">
        <v>1244</v>
      </c>
      <c r="E7">
        <v>1566</v>
      </c>
      <c r="F7">
        <v>2033</v>
      </c>
      <c r="G7">
        <v>2543</v>
      </c>
      <c r="H7">
        <v>2861</v>
      </c>
      <c r="I7">
        <v>4224</v>
      </c>
      <c r="J7">
        <v>3630</v>
      </c>
      <c r="K7">
        <v>1820</v>
      </c>
      <c r="O7">
        <v>1546</v>
      </c>
      <c r="P7">
        <v>2698</v>
      </c>
      <c r="R7">
        <v>1508</v>
      </c>
      <c r="S7">
        <v>1831</v>
      </c>
      <c r="T7">
        <v>2240</v>
      </c>
      <c r="V7">
        <v>3570</v>
      </c>
      <c r="W7">
        <v>1846</v>
      </c>
      <c r="X7">
        <v>1629</v>
      </c>
      <c r="Y7">
        <v>1167</v>
      </c>
      <c r="AB7">
        <v>2250.2249999999999</v>
      </c>
      <c r="AC7">
        <v>3960.0239999999999</v>
      </c>
      <c r="AE7">
        <v>2491.0419999999999</v>
      </c>
      <c r="AG7">
        <v>4140.9579999999996</v>
      </c>
      <c r="AH7">
        <v>4525.3</v>
      </c>
      <c r="AJ7">
        <v>7100.41</v>
      </c>
      <c r="AT7">
        <v>1577</v>
      </c>
      <c r="AU7">
        <v>1688</v>
      </c>
      <c r="AV7">
        <v>1311</v>
      </c>
      <c r="AW7">
        <v>1334</v>
      </c>
      <c r="BB7" s="3">
        <v>1673</v>
      </c>
      <c r="BC7" s="3">
        <v>3042</v>
      </c>
      <c r="BD7" s="3">
        <v>1244</v>
      </c>
      <c r="BE7" s="3">
        <v>1566</v>
      </c>
      <c r="BF7" s="3">
        <v>2033</v>
      </c>
      <c r="BG7" s="3">
        <v>2543</v>
      </c>
      <c r="BH7" s="3">
        <v>2861</v>
      </c>
      <c r="BI7" s="3">
        <v>4224</v>
      </c>
      <c r="BJ7" s="3">
        <v>3630</v>
      </c>
      <c r="BK7" s="3">
        <v>1820</v>
      </c>
      <c r="BL7" s="3">
        <v>1048</v>
      </c>
      <c r="BM7" s="3">
        <v>1247</v>
      </c>
    </row>
    <row r="8" spans="1:65">
      <c r="B8">
        <v>2214</v>
      </c>
      <c r="D8">
        <v>1180</v>
      </c>
      <c r="F8">
        <v>1776</v>
      </c>
      <c r="G8">
        <v>3347</v>
      </c>
      <c r="H8">
        <v>3585</v>
      </c>
      <c r="I8">
        <v>3954</v>
      </c>
      <c r="J8">
        <v>2834</v>
      </c>
      <c r="K8">
        <v>2938</v>
      </c>
      <c r="S8">
        <v>1478</v>
      </c>
      <c r="T8">
        <v>2072</v>
      </c>
      <c r="W8">
        <v>3042</v>
      </c>
      <c r="X8">
        <v>2051</v>
      </c>
      <c r="AC8">
        <v>4076.0070000000001</v>
      </c>
      <c r="AE8">
        <v>2092.5830000000001</v>
      </c>
      <c r="AH8">
        <v>4941.0910000000003</v>
      </c>
      <c r="AJ8">
        <v>4953.8220000000001</v>
      </c>
      <c r="BB8" s="3">
        <v>2214</v>
      </c>
      <c r="BC8" s="3">
        <v>2831</v>
      </c>
      <c r="BD8" s="3">
        <v>1180</v>
      </c>
      <c r="BE8" s="3">
        <v>1151</v>
      </c>
      <c r="BF8" s="3">
        <v>1776</v>
      </c>
      <c r="BG8" s="3">
        <v>3347</v>
      </c>
      <c r="BH8" s="3">
        <v>3585</v>
      </c>
      <c r="BI8" s="3">
        <v>3954</v>
      </c>
      <c r="BJ8" s="3">
        <v>2834</v>
      </c>
      <c r="BK8" s="3">
        <v>2938</v>
      </c>
      <c r="BL8" s="3">
        <v>1376</v>
      </c>
      <c r="BM8" s="3">
        <v>657</v>
      </c>
    </row>
    <row r="9" spans="1:65">
      <c r="B9">
        <v>3063</v>
      </c>
      <c r="F9">
        <v>1975</v>
      </c>
      <c r="G9">
        <v>3792</v>
      </c>
      <c r="H9">
        <v>2872</v>
      </c>
      <c r="I9">
        <v>4348</v>
      </c>
      <c r="J9">
        <v>3356</v>
      </c>
      <c r="K9">
        <v>2810</v>
      </c>
      <c r="S9">
        <v>1775</v>
      </c>
      <c r="T9">
        <v>3118</v>
      </c>
      <c r="W9">
        <v>2323</v>
      </c>
      <c r="X9">
        <v>2389</v>
      </c>
      <c r="AH9">
        <v>5280.49</v>
      </c>
      <c r="BB9" s="3">
        <v>3063</v>
      </c>
      <c r="BC9" s="3">
        <v>2576</v>
      </c>
      <c r="BD9" s="3">
        <v>1095</v>
      </c>
      <c r="BE9" s="3">
        <v>1185</v>
      </c>
      <c r="BF9" s="3">
        <v>1975</v>
      </c>
      <c r="BG9" s="3">
        <v>3792</v>
      </c>
      <c r="BH9" s="3">
        <v>2872</v>
      </c>
      <c r="BI9" s="3">
        <v>4348</v>
      </c>
      <c r="BJ9" s="3">
        <v>3356</v>
      </c>
      <c r="BK9" s="3">
        <v>2810</v>
      </c>
      <c r="BL9" s="3">
        <v>1018</v>
      </c>
      <c r="BM9" s="3">
        <v>703</v>
      </c>
    </row>
    <row r="10" spans="1:65">
      <c r="F10">
        <v>1727</v>
      </c>
      <c r="G10">
        <v>2605</v>
      </c>
      <c r="H10">
        <v>4435</v>
      </c>
      <c r="I10">
        <v>4698</v>
      </c>
      <c r="J10">
        <v>3350</v>
      </c>
      <c r="K10">
        <v>2716</v>
      </c>
      <c r="S10">
        <v>1371</v>
      </c>
      <c r="T10">
        <v>2552</v>
      </c>
      <c r="W10">
        <v>2466</v>
      </c>
      <c r="X10">
        <v>1655</v>
      </c>
      <c r="AH10">
        <v>5023.3500000000004</v>
      </c>
      <c r="BB10" s="3">
        <v>1606</v>
      </c>
      <c r="BC10" s="3">
        <v>2136</v>
      </c>
      <c r="BD10" s="3">
        <v>1655</v>
      </c>
      <c r="BE10" s="3">
        <v>1414</v>
      </c>
      <c r="BF10" s="3">
        <v>1727</v>
      </c>
      <c r="BG10" s="3">
        <v>2605</v>
      </c>
      <c r="BH10" s="3">
        <v>4435</v>
      </c>
      <c r="BI10" s="3">
        <v>4698</v>
      </c>
      <c r="BJ10" s="3">
        <v>3350</v>
      </c>
      <c r="BK10" s="3">
        <v>2716</v>
      </c>
      <c r="BL10" s="3">
        <v>857</v>
      </c>
      <c r="BM10" s="3">
        <v>1031</v>
      </c>
    </row>
    <row r="11" spans="1:65">
      <c r="G11">
        <v>3984</v>
      </c>
      <c r="H11">
        <v>4014</v>
      </c>
      <c r="I11">
        <v>3836</v>
      </c>
      <c r="K11">
        <v>2197</v>
      </c>
      <c r="AH11">
        <v>5455.6729999999998</v>
      </c>
      <c r="BB11" s="3">
        <v>1460</v>
      </c>
      <c r="BC11" s="3">
        <v>2967</v>
      </c>
      <c r="BD11" s="3">
        <v>814</v>
      </c>
      <c r="BE11" s="3">
        <v>1170</v>
      </c>
      <c r="BF11" s="3">
        <v>1791</v>
      </c>
      <c r="BG11" s="3">
        <v>3984</v>
      </c>
      <c r="BH11" s="3">
        <v>4014</v>
      </c>
      <c r="BI11" s="3">
        <v>3836</v>
      </c>
      <c r="BJ11" s="3">
        <v>2637</v>
      </c>
      <c r="BK11" s="3">
        <v>2197</v>
      </c>
      <c r="BL11" s="3">
        <v>1167</v>
      </c>
      <c r="BM11" s="3"/>
    </row>
    <row r="12" spans="1:65">
      <c r="G12">
        <v>2757</v>
      </c>
      <c r="I12">
        <v>3938</v>
      </c>
      <c r="AH12">
        <v>4815.2860000000001</v>
      </c>
      <c r="BB12" s="3">
        <v>1258</v>
      </c>
      <c r="BC12" s="3">
        <v>2698</v>
      </c>
      <c r="BD12" s="3">
        <v>1152</v>
      </c>
      <c r="BE12" s="3">
        <v>1290</v>
      </c>
      <c r="BF12" s="3">
        <v>1912</v>
      </c>
      <c r="BG12" s="3">
        <v>2757</v>
      </c>
      <c r="BH12" s="3">
        <v>3538</v>
      </c>
      <c r="BI12" s="3">
        <v>3938</v>
      </c>
      <c r="BJ12" s="3">
        <v>1353</v>
      </c>
      <c r="BK12" s="3">
        <v>2253</v>
      </c>
      <c r="BL12" s="3"/>
      <c r="BM12" s="3"/>
    </row>
    <row r="13" spans="1:65">
      <c r="G13">
        <v>3234</v>
      </c>
      <c r="BB13" s="3">
        <v>1350</v>
      </c>
      <c r="BC13" s="3"/>
      <c r="BD13" s="3"/>
      <c r="BE13" s="3">
        <v>1508</v>
      </c>
      <c r="BF13" s="3">
        <v>1533</v>
      </c>
      <c r="BG13" s="3">
        <v>3234</v>
      </c>
      <c r="BH13" s="3">
        <v>2612</v>
      </c>
      <c r="BI13" s="3">
        <v>3399</v>
      </c>
      <c r="BJ13" s="3">
        <v>1817</v>
      </c>
      <c r="BK13" s="3">
        <v>2203</v>
      </c>
      <c r="BL13" s="3"/>
      <c r="BM13" s="3"/>
    </row>
    <row r="14" spans="1:65">
      <c r="BB14" s="3">
        <v>1540</v>
      </c>
      <c r="BF14" s="3">
        <v>1643</v>
      </c>
      <c r="BG14" s="3">
        <v>2694</v>
      </c>
      <c r="BH14" s="3">
        <v>2696</v>
      </c>
      <c r="BI14" s="3">
        <v>1376</v>
      </c>
      <c r="BJ14" s="3">
        <v>2118</v>
      </c>
      <c r="BK14" s="3">
        <v>1725</v>
      </c>
    </row>
    <row r="15" spans="1:65">
      <c r="BB15" s="3">
        <v>1546</v>
      </c>
      <c r="BF15" s="3">
        <v>2425</v>
      </c>
      <c r="BG15" s="3">
        <v>1987</v>
      </c>
      <c r="BH15" s="3">
        <v>3203</v>
      </c>
      <c r="BI15" s="3">
        <v>3130</v>
      </c>
      <c r="BJ15" s="3">
        <v>1822</v>
      </c>
      <c r="BK15" s="3">
        <v>1263</v>
      </c>
    </row>
    <row r="16" spans="1:65">
      <c r="BF16" s="3">
        <v>1831</v>
      </c>
      <c r="BG16" s="3">
        <v>2604</v>
      </c>
      <c r="BH16" s="3">
        <v>2845</v>
      </c>
      <c r="BI16" s="3">
        <v>2917</v>
      </c>
      <c r="BJ16" s="3">
        <v>1846</v>
      </c>
      <c r="BK16" s="3">
        <v>1652</v>
      </c>
    </row>
    <row r="17" spans="1:65">
      <c r="BF17" s="3">
        <v>1478</v>
      </c>
      <c r="BG17" s="3">
        <v>1463</v>
      </c>
      <c r="BI17" s="3">
        <v>3322</v>
      </c>
      <c r="BJ17" s="3">
        <v>3042</v>
      </c>
      <c r="BK17" s="3">
        <v>1629</v>
      </c>
    </row>
    <row r="18" spans="1:65">
      <c r="BD18" s="3"/>
      <c r="BF18">
        <v>1775</v>
      </c>
      <c r="BG18" s="3">
        <v>1587</v>
      </c>
      <c r="BI18" s="3">
        <v>3570</v>
      </c>
      <c r="BJ18">
        <v>2323</v>
      </c>
      <c r="BK18" s="3">
        <v>2051</v>
      </c>
      <c r="BM18" s="3"/>
    </row>
    <row r="19" spans="1:65">
      <c r="BD19" s="3"/>
      <c r="BF19">
        <v>1371</v>
      </c>
      <c r="BG19" s="3">
        <v>2240</v>
      </c>
      <c r="BH19" s="3"/>
      <c r="BJ19">
        <v>2466</v>
      </c>
      <c r="BK19">
        <v>2389</v>
      </c>
      <c r="BM19" s="3"/>
    </row>
    <row r="20" spans="1:65">
      <c r="BB20" s="3"/>
      <c r="BC20" s="3"/>
      <c r="BD20" s="3"/>
      <c r="BE20" s="3"/>
      <c r="BG20" s="3">
        <v>2072</v>
      </c>
      <c r="BH20" s="3"/>
      <c r="BI20" s="3"/>
      <c r="BK20">
        <v>1655</v>
      </c>
      <c r="BL20" s="3"/>
      <c r="BM20" s="3"/>
    </row>
    <row r="21" spans="1:65">
      <c r="BG21">
        <v>3118</v>
      </c>
    </row>
    <row r="22" spans="1:65">
      <c r="BG22">
        <v>2552</v>
      </c>
    </row>
    <row r="24" spans="1:65">
      <c r="A24" t="s">
        <v>126</v>
      </c>
      <c r="B24">
        <v>169</v>
      </c>
      <c r="C24">
        <v>201</v>
      </c>
      <c r="D24">
        <v>254</v>
      </c>
      <c r="E24">
        <v>295</v>
      </c>
      <c r="F24">
        <v>441</v>
      </c>
      <c r="G24">
        <v>915</v>
      </c>
      <c r="H24">
        <v>1248</v>
      </c>
      <c r="I24">
        <v>1712</v>
      </c>
      <c r="J24">
        <v>999</v>
      </c>
      <c r="K24">
        <v>913</v>
      </c>
      <c r="L24">
        <v>1390</v>
      </c>
      <c r="M24">
        <v>518</v>
      </c>
      <c r="O24">
        <v>146</v>
      </c>
      <c r="P24">
        <v>165</v>
      </c>
      <c r="Q24">
        <v>210</v>
      </c>
      <c r="R24">
        <v>228</v>
      </c>
      <c r="S24">
        <v>242</v>
      </c>
      <c r="T24">
        <v>755</v>
      </c>
      <c r="U24">
        <v>1047</v>
      </c>
      <c r="V24">
        <v>1366</v>
      </c>
      <c r="W24">
        <v>1149</v>
      </c>
      <c r="X24">
        <v>1267</v>
      </c>
      <c r="Y24">
        <v>992</v>
      </c>
      <c r="Z24">
        <v>840</v>
      </c>
      <c r="AB24">
        <v>221.964</v>
      </c>
      <c r="AC24">
        <v>219.91499999999999</v>
      </c>
      <c r="AD24">
        <v>228.65199999999999</v>
      </c>
      <c r="AE24">
        <v>272.84399999999999</v>
      </c>
      <c r="AF24">
        <v>272.67200000000003</v>
      </c>
      <c r="AG24">
        <v>378.798</v>
      </c>
      <c r="AH24">
        <v>312.32600000000002</v>
      </c>
      <c r="AI24">
        <v>790.17499999999995</v>
      </c>
      <c r="AJ24">
        <v>832.29100000000005</v>
      </c>
      <c r="AK24">
        <v>600.14400000000001</v>
      </c>
      <c r="AL24">
        <v>1420.364</v>
      </c>
      <c r="AM24">
        <v>1599.307</v>
      </c>
      <c r="AO24">
        <v>134</v>
      </c>
      <c r="AP24">
        <v>147</v>
      </c>
      <c r="AQ24">
        <v>178</v>
      </c>
      <c r="AR24">
        <v>188</v>
      </c>
      <c r="AS24">
        <v>189</v>
      </c>
      <c r="AT24">
        <v>359</v>
      </c>
      <c r="AU24">
        <v>565</v>
      </c>
      <c r="AV24">
        <v>808</v>
      </c>
      <c r="AW24">
        <v>846</v>
      </c>
      <c r="AX24">
        <v>902</v>
      </c>
      <c r="AY24">
        <v>788</v>
      </c>
      <c r="AZ24">
        <v>574</v>
      </c>
      <c r="BB24">
        <v>169</v>
      </c>
      <c r="BC24">
        <v>201</v>
      </c>
      <c r="BD24">
        <v>254</v>
      </c>
      <c r="BE24">
        <v>295</v>
      </c>
      <c r="BF24">
        <v>441</v>
      </c>
      <c r="BG24">
        <v>915</v>
      </c>
      <c r="BH24">
        <v>1248</v>
      </c>
      <c r="BI24">
        <v>1712</v>
      </c>
      <c r="BJ24">
        <v>999</v>
      </c>
      <c r="BK24">
        <v>913</v>
      </c>
      <c r="BL24">
        <v>1390</v>
      </c>
      <c r="BM24">
        <v>518</v>
      </c>
    </row>
    <row r="25" spans="1:65">
      <c r="B25">
        <v>156</v>
      </c>
      <c r="C25">
        <v>191</v>
      </c>
      <c r="D25">
        <v>292</v>
      </c>
      <c r="E25">
        <v>537</v>
      </c>
      <c r="F25">
        <v>466</v>
      </c>
      <c r="G25">
        <v>708</v>
      </c>
      <c r="H25">
        <v>1447</v>
      </c>
      <c r="I25">
        <v>863</v>
      </c>
      <c r="J25">
        <v>860</v>
      </c>
      <c r="K25">
        <v>833</v>
      </c>
      <c r="L25">
        <v>1169</v>
      </c>
      <c r="M25">
        <v>977</v>
      </c>
      <c r="O25">
        <v>128</v>
      </c>
      <c r="P25">
        <v>140</v>
      </c>
      <c r="Q25">
        <v>146</v>
      </c>
      <c r="R25">
        <v>165</v>
      </c>
      <c r="S25">
        <v>518</v>
      </c>
      <c r="T25">
        <v>548</v>
      </c>
      <c r="U25">
        <v>1056</v>
      </c>
      <c r="V25">
        <v>1351</v>
      </c>
      <c r="W25">
        <v>1735</v>
      </c>
      <c r="X25">
        <v>1368</v>
      </c>
      <c r="Y25">
        <v>872</v>
      </c>
      <c r="Z25">
        <v>805</v>
      </c>
      <c r="AB25">
        <v>257.01</v>
      </c>
      <c r="AC25">
        <v>260.76299999999998</v>
      </c>
      <c r="AD25">
        <v>237.06200000000001</v>
      </c>
      <c r="AE25">
        <v>270.61200000000002</v>
      </c>
      <c r="AF25">
        <v>329.649</v>
      </c>
      <c r="AG25">
        <v>450.04</v>
      </c>
      <c r="AH25">
        <v>672.44899999999996</v>
      </c>
      <c r="AI25">
        <v>668.36300000000006</v>
      </c>
      <c r="AJ25">
        <v>772.33900000000006</v>
      </c>
      <c r="AK25">
        <v>1036.4069999999999</v>
      </c>
      <c r="AL25">
        <v>1387.3579999999999</v>
      </c>
      <c r="AM25">
        <v>1082.2339999999999</v>
      </c>
      <c r="AO25">
        <v>97</v>
      </c>
      <c r="AP25">
        <v>103</v>
      </c>
      <c r="AQ25">
        <v>93</v>
      </c>
      <c r="AR25">
        <v>120</v>
      </c>
      <c r="AS25">
        <v>241</v>
      </c>
      <c r="AT25">
        <v>413</v>
      </c>
      <c r="AU25">
        <v>785</v>
      </c>
      <c r="AV25">
        <v>1170</v>
      </c>
      <c r="AW25">
        <v>1047</v>
      </c>
      <c r="AX25">
        <v>922</v>
      </c>
      <c r="AY25">
        <v>836</v>
      </c>
      <c r="AZ25">
        <v>447</v>
      </c>
      <c r="BB25">
        <v>156</v>
      </c>
      <c r="BC25">
        <v>191</v>
      </c>
      <c r="BD25">
        <v>292</v>
      </c>
      <c r="BE25">
        <v>537</v>
      </c>
      <c r="BF25">
        <v>466</v>
      </c>
      <c r="BG25">
        <v>708</v>
      </c>
      <c r="BH25">
        <v>1447</v>
      </c>
      <c r="BI25">
        <v>863</v>
      </c>
      <c r="BJ25">
        <v>860</v>
      </c>
      <c r="BK25">
        <v>833</v>
      </c>
      <c r="BL25">
        <v>1169</v>
      </c>
      <c r="BM25">
        <v>977</v>
      </c>
    </row>
    <row r="26" spans="1:65">
      <c r="B26">
        <v>187</v>
      </c>
      <c r="C26">
        <v>205</v>
      </c>
      <c r="D26">
        <v>250</v>
      </c>
      <c r="E26">
        <v>274</v>
      </c>
      <c r="F26">
        <v>592</v>
      </c>
      <c r="G26">
        <v>822</v>
      </c>
      <c r="H26">
        <v>1317</v>
      </c>
      <c r="I26">
        <v>926</v>
      </c>
      <c r="J26">
        <v>1112</v>
      </c>
      <c r="K26">
        <v>912</v>
      </c>
      <c r="L26">
        <v>1274</v>
      </c>
      <c r="M26">
        <v>1059</v>
      </c>
      <c r="O26">
        <v>132</v>
      </c>
      <c r="P26">
        <v>139</v>
      </c>
      <c r="Q26">
        <v>160</v>
      </c>
      <c r="R26">
        <v>239</v>
      </c>
      <c r="S26">
        <v>844</v>
      </c>
      <c r="T26">
        <v>907</v>
      </c>
      <c r="U26">
        <v>968</v>
      </c>
      <c r="V26">
        <v>1080</v>
      </c>
      <c r="W26">
        <v>1132</v>
      </c>
      <c r="X26">
        <v>1040</v>
      </c>
      <c r="Y26">
        <v>773</v>
      </c>
      <c r="Z26">
        <v>563</v>
      </c>
      <c r="AH26">
        <v>345.62400000000002</v>
      </c>
      <c r="AI26">
        <v>779.91300000000001</v>
      </c>
      <c r="AJ26">
        <v>935.48699999999997</v>
      </c>
      <c r="AK26">
        <v>1327.193</v>
      </c>
      <c r="AL26">
        <v>1308.0450000000001</v>
      </c>
      <c r="AM26">
        <v>1231.579</v>
      </c>
      <c r="AO26">
        <v>115</v>
      </c>
      <c r="AP26">
        <v>82</v>
      </c>
      <c r="AQ26">
        <v>139</v>
      </c>
      <c r="AR26">
        <v>122</v>
      </c>
      <c r="AS26">
        <v>235</v>
      </c>
      <c r="AT26">
        <v>712</v>
      </c>
      <c r="AU26">
        <v>1166</v>
      </c>
      <c r="AV26">
        <v>1117</v>
      </c>
      <c r="AW26">
        <v>949</v>
      </c>
      <c r="AX26">
        <v>884</v>
      </c>
      <c r="AY26">
        <v>725</v>
      </c>
      <c r="AZ26">
        <v>745</v>
      </c>
      <c r="BB26">
        <v>187</v>
      </c>
      <c r="BC26">
        <v>205</v>
      </c>
      <c r="BD26">
        <v>250</v>
      </c>
      <c r="BE26">
        <v>274</v>
      </c>
      <c r="BF26">
        <v>592</v>
      </c>
      <c r="BG26">
        <v>822</v>
      </c>
      <c r="BH26">
        <v>1317</v>
      </c>
      <c r="BI26">
        <v>926</v>
      </c>
      <c r="BJ26">
        <v>1112</v>
      </c>
      <c r="BK26">
        <v>912</v>
      </c>
      <c r="BL26">
        <v>1274</v>
      </c>
      <c r="BM26">
        <v>1059</v>
      </c>
    </row>
    <row r="27" spans="1:65">
      <c r="E27">
        <v>310</v>
      </c>
      <c r="G27">
        <v>1160</v>
      </c>
      <c r="H27">
        <v>1176</v>
      </c>
      <c r="I27">
        <v>586</v>
      </c>
      <c r="J27">
        <v>946</v>
      </c>
      <c r="L27">
        <v>1231</v>
      </c>
      <c r="S27">
        <v>450</v>
      </c>
      <c r="T27">
        <v>759</v>
      </c>
      <c r="U27">
        <v>826</v>
      </c>
      <c r="V27">
        <v>1099</v>
      </c>
      <c r="W27">
        <v>1220</v>
      </c>
      <c r="X27">
        <v>1098</v>
      </c>
      <c r="Y27">
        <v>1315</v>
      </c>
      <c r="AH27">
        <v>674.08600000000001</v>
      </c>
      <c r="AJ27">
        <v>677.77499999999998</v>
      </c>
      <c r="AK27">
        <v>979.77800000000002</v>
      </c>
      <c r="AL27">
        <v>1365.8610000000001</v>
      </c>
      <c r="AM27">
        <v>989.62400000000002</v>
      </c>
      <c r="AO27">
        <v>172</v>
      </c>
      <c r="AP27">
        <v>166</v>
      </c>
      <c r="AQ27">
        <v>232</v>
      </c>
      <c r="AR27">
        <v>294</v>
      </c>
      <c r="AS27">
        <v>339</v>
      </c>
      <c r="AT27">
        <v>700</v>
      </c>
      <c r="AU27">
        <v>713</v>
      </c>
      <c r="AV27">
        <v>841</v>
      </c>
      <c r="AW27">
        <v>1021</v>
      </c>
      <c r="AX27">
        <v>871</v>
      </c>
      <c r="AY27">
        <v>1107</v>
      </c>
      <c r="AZ27">
        <v>702</v>
      </c>
      <c r="BB27">
        <v>146</v>
      </c>
      <c r="BC27">
        <v>165</v>
      </c>
      <c r="BD27">
        <v>210</v>
      </c>
      <c r="BE27">
        <v>310</v>
      </c>
      <c r="BF27">
        <v>242</v>
      </c>
      <c r="BG27">
        <v>1160</v>
      </c>
      <c r="BH27">
        <v>1176</v>
      </c>
      <c r="BI27">
        <v>586</v>
      </c>
      <c r="BJ27">
        <v>946</v>
      </c>
      <c r="BK27">
        <v>1267</v>
      </c>
      <c r="BL27">
        <v>1231</v>
      </c>
      <c r="BM27">
        <v>840</v>
      </c>
    </row>
    <row r="28" spans="1:65">
      <c r="E28">
        <v>282</v>
      </c>
      <c r="G28">
        <v>1029</v>
      </c>
      <c r="I28">
        <v>490</v>
      </c>
      <c r="J28">
        <v>917</v>
      </c>
      <c r="L28">
        <v>1689</v>
      </c>
      <c r="S28">
        <v>690</v>
      </c>
      <c r="T28">
        <v>709</v>
      </c>
      <c r="U28">
        <v>1306</v>
      </c>
      <c r="V28">
        <v>1276</v>
      </c>
      <c r="W28">
        <v>1643</v>
      </c>
      <c r="X28">
        <v>1422</v>
      </c>
      <c r="AH28">
        <v>381.95600000000002</v>
      </c>
      <c r="AJ28">
        <v>717.57399999999996</v>
      </c>
      <c r="AK28">
        <v>950.48800000000006</v>
      </c>
      <c r="AL28">
        <v>1210.3109999999999</v>
      </c>
      <c r="BB28">
        <v>128</v>
      </c>
      <c r="BC28">
        <v>140</v>
      </c>
      <c r="BD28">
        <v>146</v>
      </c>
      <c r="BE28">
        <v>282</v>
      </c>
      <c r="BF28">
        <v>518</v>
      </c>
      <c r="BG28">
        <v>1029</v>
      </c>
      <c r="BH28">
        <v>1047</v>
      </c>
      <c r="BI28">
        <v>490</v>
      </c>
      <c r="BJ28">
        <v>917</v>
      </c>
      <c r="BK28">
        <v>1368</v>
      </c>
      <c r="BL28">
        <v>1689</v>
      </c>
      <c r="BM28">
        <v>805</v>
      </c>
    </row>
    <row r="29" spans="1:65">
      <c r="G29">
        <v>1282</v>
      </c>
      <c r="I29">
        <v>1291</v>
      </c>
      <c r="J29">
        <v>1180</v>
      </c>
      <c r="L29">
        <v>1482</v>
      </c>
      <c r="S29">
        <v>388</v>
      </c>
      <c r="AK29">
        <v>1258.924</v>
      </c>
      <c r="BB29">
        <v>132</v>
      </c>
      <c r="BC29">
        <v>139</v>
      </c>
      <c r="BD29">
        <v>160</v>
      </c>
      <c r="BE29">
        <v>228</v>
      </c>
      <c r="BF29">
        <v>844</v>
      </c>
      <c r="BG29">
        <v>1282</v>
      </c>
      <c r="BH29">
        <v>1056</v>
      </c>
      <c r="BI29">
        <v>1291</v>
      </c>
      <c r="BJ29">
        <v>1180</v>
      </c>
      <c r="BK29">
        <v>1040</v>
      </c>
      <c r="BL29">
        <v>1482</v>
      </c>
      <c r="BM29">
        <v>563</v>
      </c>
    </row>
    <row r="30" spans="1:65">
      <c r="G30">
        <v>1034</v>
      </c>
      <c r="I30">
        <v>1026</v>
      </c>
      <c r="L30">
        <v>1335</v>
      </c>
      <c r="BE30">
        <v>165</v>
      </c>
      <c r="BF30">
        <v>450</v>
      </c>
      <c r="BG30">
        <v>1034</v>
      </c>
      <c r="BH30">
        <v>968</v>
      </c>
      <c r="BI30">
        <v>1026</v>
      </c>
      <c r="BJ30">
        <v>1149</v>
      </c>
      <c r="BK30">
        <v>1098</v>
      </c>
      <c r="BL30">
        <v>1335</v>
      </c>
    </row>
    <row r="31" spans="1:65">
      <c r="G31">
        <v>1186</v>
      </c>
      <c r="I31">
        <v>1452</v>
      </c>
      <c r="L31">
        <v>1448</v>
      </c>
      <c r="BE31">
        <v>239</v>
      </c>
      <c r="BF31">
        <v>690</v>
      </c>
      <c r="BG31">
        <v>1186</v>
      </c>
      <c r="BH31">
        <v>826</v>
      </c>
      <c r="BI31">
        <v>1452</v>
      </c>
      <c r="BJ31">
        <v>1735</v>
      </c>
      <c r="BK31">
        <v>1422</v>
      </c>
      <c r="BL31">
        <v>1448</v>
      </c>
    </row>
    <row r="32" spans="1:65">
      <c r="G32">
        <v>1140</v>
      </c>
      <c r="L32">
        <v>1103</v>
      </c>
      <c r="BF32">
        <v>388</v>
      </c>
      <c r="BG32">
        <v>1140</v>
      </c>
      <c r="BH32">
        <v>1306</v>
      </c>
      <c r="BI32">
        <v>1366</v>
      </c>
      <c r="BJ32">
        <v>1132</v>
      </c>
      <c r="BL32">
        <v>1103</v>
      </c>
    </row>
    <row r="33" spans="1:65">
      <c r="BG33">
        <v>755</v>
      </c>
      <c r="BI33">
        <v>1351</v>
      </c>
      <c r="BJ33">
        <v>1220</v>
      </c>
      <c r="BL33">
        <v>992</v>
      </c>
    </row>
    <row r="34" spans="1:65">
      <c r="BG34">
        <v>548</v>
      </c>
      <c r="BI34">
        <v>1080</v>
      </c>
      <c r="BJ34">
        <v>1643</v>
      </c>
      <c r="BL34">
        <v>872</v>
      </c>
    </row>
    <row r="35" spans="1:65">
      <c r="BG35">
        <v>907</v>
      </c>
      <c r="BI35">
        <v>1099</v>
      </c>
      <c r="BL35">
        <v>773</v>
      </c>
    </row>
    <row r="36" spans="1:65">
      <c r="BG36">
        <v>759</v>
      </c>
      <c r="BI36">
        <v>1276</v>
      </c>
      <c r="BL36">
        <v>1315</v>
      </c>
    </row>
    <row r="42" spans="1:65" s="5" customFormat="1">
      <c r="A42" s="5" t="s">
        <v>110</v>
      </c>
      <c r="B42" s="5">
        <f>AVERAGE(B24:B36)</f>
        <v>170.66666666666666</v>
      </c>
      <c r="C42" s="5">
        <f>AVERAGE(C24:C36)</f>
        <v>199</v>
      </c>
      <c r="D42" s="5">
        <f>AVERAGE(D24:D36)</f>
        <v>265.33333333333331</v>
      </c>
      <c r="E42" s="5">
        <f>AVERAGE(E24:E36)</f>
        <v>339.6</v>
      </c>
      <c r="F42" s="5">
        <f>AVERAGE(F24:F36)</f>
        <v>499.66666666666669</v>
      </c>
      <c r="G42" s="5">
        <f>AVERAGE(G24:G36)</f>
        <v>1030.6666666666667</v>
      </c>
      <c r="H42" s="5">
        <f>AVERAGE(H24:H36)</f>
        <v>1297</v>
      </c>
      <c r="I42" s="5">
        <f>AVERAGE(I24:I36)</f>
        <v>1043.25</v>
      </c>
      <c r="J42" s="5">
        <f>AVERAGE(J24:J36)</f>
        <v>1002.3333333333334</v>
      </c>
      <c r="K42" s="5">
        <f>AVERAGE(K24:K36)</f>
        <v>886</v>
      </c>
      <c r="L42" s="5">
        <f>AVERAGE(L24:L36)</f>
        <v>1346.7777777777778</v>
      </c>
      <c r="M42" s="5">
        <f>AVERAGE(M24:M36)</f>
        <v>851.33333333333337</v>
      </c>
      <c r="O42" s="5">
        <f>AVERAGE(O24:O36)</f>
        <v>135.33333333333334</v>
      </c>
      <c r="P42" s="5">
        <f>AVERAGE(P24:P36)</f>
        <v>148</v>
      </c>
      <c r="Q42" s="5">
        <f>AVERAGE(Q24:Q36)</f>
        <v>172</v>
      </c>
      <c r="R42" s="5">
        <f>AVERAGE(R24:R36)</f>
        <v>210.66666666666666</v>
      </c>
      <c r="S42" s="5">
        <f>AVERAGE(S24:S36)</f>
        <v>522</v>
      </c>
      <c r="T42" s="5">
        <f>AVERAGE(T24:T36)</f>
        <v>735.6</v>
      </c>
      <c r="U42" s="5">
        <f>AVERAGE(U24:U36)</f>
        <v>1040.5999999999999</v>
      </c>
      <c r="V42" s="5">
        <f>AVERAGE(V24:V36)</f>
        <v>1234.4000000000001</v>
      </c>
      <c r="W42" s="5">
        <f>AVERAGE(W24:W36)</f>
        <v>1375.8</v>
      </c>
      <c r="X42" s="5">
        <f>AVERAGE(X24:X36)</f>
        <v>1239</v>
      </c>
      <c r="Y42" s="5">
        <f>AVERAGE(Y24:Y36)</f>
        <v>988</v>
      </c>
      <c r="Z42" s="5">
        <f>AVERAGE(Z24:Z36)</f>
        <v>736</v>
      </c>
      <c r="AB42" s="5">
        <f>AVERAGE(AB24:AB36)</f>
        <v>239.48699999999999</v>
      </c>
      <c r="AC42" s="5">
        <f>AVERAGE(AC24:AC36)</f>
        <v>240.339</v>
      </c>
      <c r="AD42" s="5">
        <f>AVERAGE(AD24:AD36)</f>
        <v>232.857</v>
      </c>
      <c r="AE42" s="5">
        <f>AVERAGE(AE24:AE36)</f>
        <v>271.72800000000001</v>
      </c>
      <c r="AF42" s="5">
        <f>AVERAGE(AF24:AF36)</f>
        <v>301.16050000000001</v>
      </c>
      <c r="AG42" s="5">
        <f>AVERAGE(AG24:AG36)</f>
        <v>414.41899999999998</v>
      </c>
      <c r="AH42" s="5">
        <f>AVERAGE(AH24:AH36)</f>
        <v>477.28819999999996</v>
      </c>
      <c r="AI42" s="5">
        <f>AVERAGE(AI24:AI36)</f>
        <v>746.15033333333338</v>
      </c>
      <c r="AJ42" s="5">
        <f>AVERAGE(AJ24:AJ36)</f>
        <v>787.09320000000002</v>
      </c>
      <c r="AK42" s="5">
        <f>AVERAGE(AK24:AK36)</f>
        <v>1025.489</v>
      </c>
      <c r="AL42" s="5">
        <f>AVERAGE(AL24:AL36)</f>
        <v>1338.3878</v>
      </c>
      <c r="AM42" s="5">
        <f>AVERAGE(AM24:AM36)</f>
        <v>1225.6859999999999</v>
      </c>
      <c r="AO42" s="5">
        <f>AVERAGE(AO24:AO36)</f>
        <v>129.5</v>
      </c>
      <c r="AP42" s="5">
        <f>AVERAGE(AP24:AP36)</f>
        <v>124.5</v>
      </c>
      <c r="AQ42" s="5">
        <f>AVERAGE(AQ24:AQ36)</f>
        <v>160.5</v>
      </c>
      <c r="AR42" s="5">
        <f>AVERAGE(AR24:AR36)</f>
        <v>181</v>
      </c>
      <c r="AS42" s="5">
        <f>AVERAGE(AS24:AS36)</f>
        <v>251</v>
      </c>
      <c r="AT42" s="5">
        <f>AVERAGE(AT24:AT36)</f>
        <v>546</v>
      </c>
      <c r="AU42" s="5">
        <f>AVERAGE(AU24:AU36)</f>
        <v>807.25</v>
      </c>
      <c r="AV42" s="5">
        <f>AVERAGE(AV24:AV36)</f>
        <v>984</v>
      </c>
      <c r="AW42" s="5">
        <f>AVERAGE(AW24:AW36)</f>
        <v>965.75</v>
      </c>
      <c r="AX42" s="5">
        <f>AVERAGE(AX24:AX36)</f>
        <v>894.75</v>
      </c>
      <c r="AY42" s="5">
        <f>AVERAGE(AY24:AY36)</f>
        <v>864</v>
      </c>
      <c r="AZ42" s="5">
        <f>AVERAGE(AZ24:AZ36)</f>
        <v>617</v>
      </c>
      <c r="BB42" s="5">
        <f t="shared" ref="BB42:BM42" si="0">AVERAGE(BB24:BB36)</f>
        <v>153</v>
      </c>
      <c r="BC42" s="5">
        <f t="shared" si="0"/>
        <v>173.5</v>
      </c>
      <c r="BD42" s="5">
        <f t="shared" si="0"/>
        <v>218.66666666666666</v>
      </c>
      <c r="BE42" s="5">
        <f t="shared" si="0"/>
        <v>291.25</v>
      </c>
      <c r="BF42" s="5">
        <f t="shared" si="0"/>
        <v>514.55555555555554</v>
      </c>
      <c r="BG42" s="5">
        <f t="shared" si="0"/>
        <v>941.92307692307691</v>
      </c>
      <c r="BH42" s="5">
        <f t="shared" si="0"/>
        <v>1154.5555555555557</v>
      </c>
      <c r="BI42" s="5">
        <f t="shared" si="0"/>
        <v>1116.7692307692307</v>
      </c>
      <c r="BJ42" s="5">
        <f t="shared" si="0"/>
        <v>1172.090909090909</v>
      </c>
      <c r="BK42" s="5">
        <f t="shared" si="0"/>
        <v>1106.625</v>
      </c>
      <c r="BL42" s="5">
        <f t="shared" si="0"/>
        <v>1236.3846153846155</v>
      </c>
      <c r="BM42" s="5">
        <f t="shared" si="0"/>
        <v>793.66666666666663</v>
      </c>
    </row>
    <row r="45" spans="1:65">
      <c r="A45" t="s">
        <v>124</v>
      </c>
      <c r="B45" t="s">
        <v>0</v>
      </c>
      <c r="C45" t="s">
        <v>1</v>
      </c>
      <c r="D45" t="s">
        <v>2</v>
      </c>
      <c r="E45" t="s">
        <v>3</v>
      </c>
      <c r="F45" t="s">
        <v>4</v>
      </c>
      <c r="G45" t="s">
        <v>5</v>
      </c>
      <c r="H45" t="s">
        <v>6</v>
      </c>
      <c r="I45" t="s">
        <v>7</v>
      </c>
      <c r="J45" t="s">
        <v>8</v>
      </c>
      <c r="K45" t="s">
        <v>9</v>
      </c>
      <c r="L45" t="s">
        <v>10</v>
      </c>
      <c r="M45" t="s">
        <v>11</v>
      </c>
      <c r="O45" t="s">
        <v>24</v>
      </c>
      <c r="P45" t="s">
        <v>25</v>
      </c>
      <c r="Q45" t="s">
        <v>26</v>
      </c>
      <c r="R45" t="s">
        <v>27</v>
      </c>
      <c r="S45" t="s">
        <v>28</v>
      </c>
      <c r="T45" t="s">
        <v>29</v>
      </c>
      <c r="U45" t="s">
        <v>30</v>
      </c>
      <c r="V45" t="s">
        <v>31</v>
      </c>
      <c r="W45" t="s">
        <v>32</v>
      </c>
      <c r="X45" t="s">
        <v>33</v>
      </c>
      <c r="Y45" t="s">
        <v>34</v>
      </c>
      <c r="Z45" t="s">
        <v>35</v>
      </c>
      <c r="AB45" t="s">
        <v>61</v>
      </c>
      <c r="AC45" t="s">
        <v>62</v>
      </c>
      <c r="AD45" t="s">
        <v>63</v>
      </c>
      <c r="AE45" t="s">
        <v>64</v>
      </c>
      <c r="AF45" t="s">
        <v>65</v>
      </c>
      <c r="AG45" t="s">
        <v>66</v>
      </c>
      <c r="AH45" t="s">
        <v>67</v>
      </c>
      <c r="AI45" t="s">
        <v>68</v>
      </c>
      <c r="AJ45" t="s">
        <v>69</v>
      </c>
      <c r="AK45" t="s">
        <v>70</v>
      </c>
      <c r="AL45" t="s">
        <v>71</v>
      </c>
      <c r="AM45" t="s">
        <v>72</v>
      </c>
      <c r="AO45" t="s">
        <v>36</v>
      </c>
      <c r="AP45" t="s">
        <v>37</v>
      </c>
      <c r="AQ45" t="s">
        <v>38</v>
      </c>
      <c r="AR45" t="s">
        <v>39</v>
      </c>
      <c r="AS45" t="s">
        <v>40</v>
      </c>
      <c r="AT45" t="s">
        <v>41</v>
      </c>
      <c r="AU45" t="s">
        <v>42</v>
      </c>
      <c r="AV45" t="s">
        <v>43</v>
      </c>
      <c r="AW45" t="s">
        <v>44</v>
      </c>
      <c r="AX45" t="s">
        <v>45</v>
      </c>
      <c r="AY45" t="s">
        <v>46</v>
      </c>
      <c r="AZ45" t="s">
        <v>47</v>
      </c>
      <c r="BB45" t="s">
        <v>138</v>
      </c>
      <c r="BC45" t="s">
        <v>139</v>
      </c>
      <c r="BD45" t="s">
        <v>140</v>
      </c>
      <c r="BE45" t="s">
        <v>141</v>
      </c>
      <c r="BF45" t="s">
        <v>142</v>
      </c>
      <c r="BG45" t="s">
        <v>143</v>
      </c>
      <c r="BH45" t="s">
        <v>144</v>
      </c>
      <c r="BI45" t="s">
        <v>145</v>
      </c>
      <c r="BJ45" t="s">
        <v>146</v>
      </c>
      <c r="BK45" t="s">
        <v>147</v>
      </c>
      <c r="BL45" t="s">
        <v>148</v>
      </c>
      <c r="BM45" t="s">
        <v>149</v>
      </c>
    </row>
    <row r="46" spans="1:65">
      <c r="B46">
        <f>B2-171</f>
        <v>1417</v>
      </c>
      <c r="C46">
        <f>C2-199</f>
        <v>4395</v>
      </c>
      <c r="D46">
        <f>D2-265</f>
        <v>895</v>
      </c>
      <c r="E46">
        <f>E2-340</f>
        <v>894</v>
      </c>
      <c r="F46">
        <f>F2-500</f>
        <v>1880</v>
      </c>
      <c r="G46">
        <f>G2-1030</f>
        <v>1944</v>
      </c>
      <c r="H46">
        <f>H2-1297</f>
        <v>3601</v>
      </c>
      <c r="I46">
        <f>I2-1043</f>
        <v>4289</v>
      </c>
      <c r="J46">
        <f>J2-1002</f>
        <v>1915</v>
      </c>
      <c r="K46">
        <f>K2-886</f>
        <v>1776</v>
      </c>
      <c r="L46">
        <f>L2-1347</f>
        <v>-118</v>
      </c>
      <c r="M46">
        <f>M2-851</f>
        <v>22</v>
      </c>
      <c r="O46">
        <f>O2-135</f>
        <v>1471</v>
      </c>
      <c r="P46">
        <f>P2-148</f>
        <v>2894</v>
      </c>
      <c r="Q46">
        <f>Q2-172</f>
        <v>923</v>
      </c>
      <c r="R46">
        <f>R2-211</f>
        <v>940</v>
      </c>
      <c r="S46">
        <f>S2-522</f>
        <v>1269</v>
      </c>
      <c r="T46">
        <f>T2-736</f>
        <v>1958</v>
      </c>
      <c r="U46">
        <f>U2-1041</f>
        <v>2497</v>
      </c>
      <c r="V46">
        <f>V2-1234</f>
        <v>2165</v>
      </c>
      <c r="W46">
        <f>W2-1376</f>
        <v>1261</v>
      </c>
      <c r="X46">
        <f>X2-1239</f>
        <v>1014</v>
      </c>
      <c r="Y46">
        <f>Y2-988</f>
        <v>-75</v>
      </c>
      <c r="Z46">
        <f>Z2-736</f>
        <v>511</v>
      </c>
      <c r="AB46">
        <f>AB2-239</f>
        <v>1613.3589999999999</v>
      </c>
      <c r="AC46">
        <f>AC2-240</f>
        <v>4420.0879999999997</v>
      </c>
      <c r="AD46">
        <f>AD2-233</f>
        <v>2148.779</v>
      </c>
      <c r="AE46">
        <f>AE2-272</f>
        <v>2425.6080000000002</v>
      </c>
      <c r="AF46">
        <f>AF2-301</f>
        <v>3191.5239999999999</v>
      </c>
      <c r="AG46">
        <f>AG2-414</f>
        <v>4564.6869999999999</v>
      </c>
      <c r="AH46">
        <f>AH2-477</f>
        <v>5481.5749999999998</v>
      </c>
      <c r="AI46">
        <f>AI2-746</f>
        <v>5157.5150000000003</v>
      </c>
      <c r="AJ46">
        <f>AJ2-787</f>
        <v>4411.0940000000001</v>
      </c>
      <c r="AK46">
        <f>AK2-1025</f>
        <v>5509.4750000000004</v>
      </c>
      <c r="AL46">
        <f>AL2-1338</f>
        <v>5897.9210000000003</v>
      </c>
      <c r="AM46">
        <f>AM2-1226</f>
        <v>5404.3450000000003</v>
      </c>
      <c r="AO46">
        <f>AO2-130</f>
        <v>1469</v>
      </c>
      <c r="AP46">
        <f>AP2-125</f>
        <v>2167</v>
      </c>
      <c r="AQ46">
        <f>AQ2-161</f>
        <v>729</v>
      </c>
      <c r="AR46">
        <f>AR2-181</f>
        <v>888</v>
      </c>
      <c r="AS46">
        <f>AS2-251</f>
        <v>765</v>
      </c>
      <c r="AT46">
        <f>AT2-546</f>
        <v>912</v>
      </c>
      <c r="AU46">
        <f>AU2-807</f>
        <v>964</v>
      </c>
      <c r="AV46">
        <f>AV2-984</f>
        <v>387</v>
      </c>
      <c r="AW46">
        <f>AW2-966</f>
        <v>288</v>
      </c>
      <c r="AX46">
        <f>AX2-895</f>
        <v>72</v>
      </c>
      <c r="AY46">
        <f>AY2-864</f>
        <v>-324</v>
      </c>
      <c r="AZ46">
        <f>AZ2-617</f>
        <v>-69</v>
      </c>
      <c r="BB46">
        <v>1435</v>
      </c>
      <c r="BC46">
        <v>4420</v>
      </c>
      <c r="BD46">
        <v>941</v>
      </c>
      <c r="BE46">
        <v>943</v>
      </c>
      <c r="BF46">
        <v>1865</v>
      </c>
      <c r="BG46">
        <v>2049</v>
      </c>
      <c r="BH46">
        <v>3743</v>
      </c>
      <c r="BI46">
        <v>4215</v>
      </c>
      <c r="BJ46">
        <v>1745</v>
      </c>
      <c r="BK46">
        <v>1555</v>
      </c>
      <c r="BL46">
        <v>-7</v>
      </c>
      <c r="BM46">
        <v>79</v>
      </c>
    </row>
    <row r="47" spans="1:65">
      <c r="B47">
        <f>B3-171</f>
        <v>1758</v>
      </c>
      <c r="C47">
        <f>C3-199</f>
        <v>2662</v>
      </c>
      <c r="D47">
        <f>D3-265</f>
        <v>1734</v>
      </c>
      <c r="E47">
        <f>E3-340</f>
        <v>1024</v>
      </c>
      <c r="F47">
        <f>F3-500</f>
        <v>2017</v>
      </c>
      <c r="G47">
        <f>G3-1030</f>
        <v>2207</v>
      </c>
      <c r="H47">
        <f>H3-1297</f>
        <v>2893</v>
      </c>
      <c r="I47">
        <f>I3-1043</f>
        <v>3982</v>
      </c>
      <c r="J47">
        <f>J3-1002</f>
        <v>2416</v>
      </c>
      <c r="K47">
        <f>K3-886</f>
        <v>2125</v>
      </c>
      <c r="L47">
        <f>L3-1347</f>
        <v>736</v>
      </c>
      <c r="M47">
        <f>M3-851</f>
        <v>321</v>
      </c>
      <c r="O47">
        <f>O3-135</f>
        <v>1325</v>
      </c>
      <c r="P47">
        <f>P3-148</f>
        <v>2683</v>
      </c>
      <c r="Q47">
        <f>Q3-172</f>
        <v>1483</v>
      </c>
      <c r="R47">
        <f>R3-211</f>
        <v>974</v>
      </c>
      <c r="S47">
        <f>S3-522</f>
        <v>1390</v>
      </c>
      <c r="T47">
        <f>T3-736</f>
        <v>1251</v>
      </c>
      <c r="U47">
        <f>U3-1041</f>
        <v>1571</v>
      </c>
      <c r="V47">
        <f>V3-1234</f>
        <v>142</v>
      </c>
      <c r="W47">
        <f>W3-1376</f>
        <v>-23</v>
      </c>
      <c r="X47">
        <f>X3-1239</f>
        <v>964</v>
      </c>
      <c r="Y47">
        <f>Y3-988</f>
        <v>60</v>
      </c>
      <c r="Z47">
        <f>Z3-736</f>
        <v>-79</v>
      </c>
      <c r="AB47">
        <f>AB3-239</f>
        <v>2524.2190000000001</v>
      </c>
      <c r="AC47">
        <f>AC3-240</f>
        <v>3651.4679999999998</v>
      </c>
      <c r="AD47">
        <f>AD3-233</f>
        <v>2147.9290000000001</v>
      </c>
      <c r="AE47">
        <f>AE3-272</f>
        <v>2329.4859999999999</v>
      </c>
      <c r="AF47">
        <f>AF3-301</f>
        <v>1922.7890000000002</v>
      </c>
      <c r="AG47">
        <f>AG3-414</f>
        <v>5390.799</v>
      </c>
      <c r="AH47">
        <f>AH3-477</f>
        <v>4472.7280000000001</v>
      </c>
      <c r="AI47">
        <f>AI3-746</f>
        <v>4912.21</v>
      </c>
      <c r="AJ47">
        <f>AJ3-787</f>
        <v>6187.2039999999997</v>
      </c>
      <c r="AK47">
        <f>AK3-1025</f>
        <v>4602.5460000000003</v>
      </c>
      <c r="AL47">
        <f>AL3-1338</f>
        <v>4500.5770000000002</v>
      </c>
      <c r="AM47">
        <f>AM3-1226</f>
        <v>4686.8360000000002</v>
      </c>
      <c r="AO47">
        <f>AO3-130</f>
        <v>1058</v>
      </c>
      <c r="AP47">
        <f>AP3-125</f>
        <v>2064</v>
      </c>
      <c r="AQ47">
        <f>AQ3-161</f>
        <v>580</v>
      </c>
      <c r="AR47">
        <f>AR3-181</f>
        <v>930</v>
      </c>
      <c r="AS47">
        <f>AS3-251</f>
        <v>777</v>
      </c>
      <c r="AT47">
        <f>AT3-546</f>
        <v>351</v>
      </c>
      <c r="AU47">
        <f>AU3-807</f>
        <v>688</v>
      </c>
      <c r="AV47">
        <f>AV3-984</f>
        <v>-201</v>
      </c>
      <c r="AW47">
        <f>AW3-966</f>
        <v>-108</v>
      </c>
      <c r="AX47">
        <f>AX3-895</f>
        <v>-137</v>
      </c>
      <c r="AY47">
        <f>AY3-864</f>
        <v>-139</v>
      </c>
      <c r="AZ47">
        <f>AZ3-617</f>
        <v>-62</v>
      </c>
      <c r="BB47">
        <v>1776</v>
      </c>
      <c r="BC47">
        <v>2687</v>
      </c>
      <c r="BD47">
        <v>1780</v>
      </c>
      <c r="BE47">
        <v>1073</v>
      </c>
      <c r="BF47">
        <v>2002</v>
      </c>
      <c r="BG47">
        <v>2312</v>
      </c>
      <c r="BH47">
        <v>3035</v>
      </c>
      <c r="BI47">
        <v>3908</v>
      </c>
      <c r="BJ47">
        <v>2246</v>
      </c>
      <c r="BK47">
        <v>1904</v>
      </c>
      <c r="BL47">
        <v>847</v>
      </c>
      <c r="BM47">
        <v>378</v>
      </c>
    </row>
    <row r="48" spans="1:65">
      <c r="B48">
        <f>B4-171</f>
        <v>1755</v>
      </c>
      <c r="C48">
        <f>C4-199</f>
        <v>3279</v>
      </c>
      <c r="D48">
        <f>D4-265</f>
        <v>1349</v>
      </c>
      <c r="E48">
        <f>E4-340</f>
        <v>1156</v>
      </c>
      <c r="F48">
        <f>F4-500</f>
        <v>1498</v>
      </c>
      <c r="G48">
        <f>G4-1030</f>
        <v>2171</v>
      </c>
      <c r="H48">
        <f>H4-1297</f>
        <v>3308</v>
      </c>
      <c r="I48">
        <f>I4-1043</f>
        <v>2326</v>
      </c>
      <c r="J48">
        <f>J4-1002</f>
        <v>1928</v>
      </c>
      <c r="K48">
        <f>K4-886</f>
        <v>2061</v>
      </c>
      <c r="L48">
        <f>L4-1347</f>
        <v>70</v>
      </c>
      <c r="M48">
        <f>M4-851</f>
        <v>571</v>
      </c>
      <c r="O48">
        <f>O4-135</f>
        <v>1123</v>
      </c>
      <c r="P48">
        <f>P4-148</f>
        <v>2428</v>
      </c>
      <c r="Q48">
        <f>Q4-172</f>
        <v>642</v>
      </c>
      <c r="R48">
        <f>R4-211</f>
        <v>1203</v>
      </c>
      <c r="S48">
        <f>S4-522</f>
        <v>1011</v>
      </c>
      <c r="T48">
        <f>T4-736</f>
        <v>1868</v>
      </c>
      <c r="U48">
        <f>U4-1041</f>
        <v>1655</v>
      </c>
      <c r="V48">
        <f>V4-1234</f>
        <v>1896</v>
      </c>
      <c r="W48">
        <f>W4-1376</f>
        <v>441</v>
      </c>
      <c r="X48">
        <f>X4-1239</f>
        <v>486</v>
      </c>
      <c r="Y48">
        <f>Y4-988</f>
        <v>388</v>
      </c>
      <c r="Z48">
        <f>Z4-736</f>
        <v>-33</v>
      </c>
      <c r="AB48">
        <f>AB4-239</f>
        <v>1382.94</v>
      </c>
      <c r="AC48">
        <f>AC4-240</f>
        <v>3651.17</v>
      </c>
      <c r="AD48">
        <f>AD4-233</f>
        <v>1924.2910000000002</v>
      </c>
      <c r="AE48">
        <f>AE4-272</f>
        <v>2161</v>
      </c>
      <c r="AF48">
        <f>AF4-301</f>
        <v>3098.6179999999999</v>
      </c>
      <c r="AG48">
        <f>AG4-414</f>
        <v>4213.1049999999996</v>
      </c>
      <c r="AH48">
        <f>AH4-477</f>
        <v>5390.8869999999997</v>
      </c>
      <c r="AI48">
        <f>AI4-746</f>
        <v>5064.25</v>
      </c>
      <c r="AJ48">
        <f>AJ4-787</f>
        <v>3505.0959999999995</v>
      </c>
      <c r="AK48">
        <f>AK4-1025</f>
        <v>4168.6930000000002</v>
      </c>
      <c r="AL48">
        <f>AL4-1338</f>
        <v>4262.53</v>
      </c>
      <c r="AO48">
        <f>AO4-130</f>
        <v>1903</v>
      </c>
      <c r="AP48">
        <f>AP4-125</f>
        <v>1891</v>
      </c>
      <c r="AQ48">
        <f>AQ4-161</f>
        <v>453</v>
      </c>
      <c r="AR48">
        <f>AR4-181</f>
        <v>491</v>
      </c>
      <c r="AS48">
        <f>AS4-251</f>
        <v>969</v>
      </c>
      <c r="AT48">
        <f>AT4-546</f>
        <v>387</v>
      </c>
      <c r="AU48">
        <f>AU4-807</f>
        <v>274</v>
      </c>
      <c r="AV48">
        <f>AV4-984</f>
        <v>230</v>
      </c>
      <c r="AW48">
        <f>AW4-966</f>
        <v>15</v>
      </c>
      <c r="AX48">
        <f>AX4-895</f>
        <v>-293</v>
      </c>
      <c r="AY48">
        <f>AY4-864</f>
        <v>-10</v>
      </c>
      <c r="AZ48">
        <f>AZ4-617</f>
        <v>314</v>
      </c>
      <c r="BB48">
        <v>1773</v>
      </c>
      <c r="BC48">
        <v>3304</v>
      </c>
      <c r="BD48">
        <v>1395</v>
      </c>
      <c r="BE48">
        <v>1205</v>
      </c>
      <c r="BF48">
        <v>1483</v>
      </c>
      <c r="BG48">
        <v>2276</v>
      </c>
      <c r="BH48">
        <v>3450</v>
      </c>
      <c r="BI48">
        <v>2252</v>
      </c>
      <c r="BJ48">
        <v>1758</v>
      </c>
      <c r="BK48">
        <v>1840</v>
      </c>
      <c r="BL48">
        <v>181</v>
      </c>
      <c r="BM48">
        <v>628</v>
      </c>
    </row>
    <row r="49" spans="2:65">
      <c r="B49">
        <f>B5-171</f>
        <v>1874</v>
      </c>
      <c r="C49">
        <f>C5-199</f>
        <v>3626</v>
      </c>
      <c r="D49">
        <f>D5-265</f>
        <v>1012</v>
      </c>
      <c r="E49">
        <f>E5-340</f>
        <v>1479</v>
      </c>
      <c r="F49">
        <f>F5-500</f>
        <v>1664</v>
      </c>
      <c r="G49">
        <f>G5-1030</f>
        <v>1029</v>
      </c>
      <c r="H49">
        <f>H5-1297</f>
        <v>2757</v>
      </c>
      <c r="I49">
        <f>I5-1043</f>
        <v>2833</v>
      </c>
      <c r="J49">
        <f>J5-1002</f>
        <v>2020</v>
      </c>
      <c r="K49">
        <f>K5-886</f>
        <v>978</v>
      </c>
      <c r="M49">
        <f>M5-851</f>
        <v>-111</v>
      </c>
      <c r="O49">
        <f>O5-135</f>
        <v>1215</v>
      </c>
      <c r="P49">
        <f>P5-148</f>
        <v>1988</v>
      </c>
      <c r="Q49">
        <f>Q5-172</f>
        <v>980</v>
      </c>
      <c r="R49">
        <f>R5-211</f>
        <v>959</v>
      </c>
      <c r="S49">
        <f>S5-522</f>
        <v>1121</v>
      </c>
      <c r="T49">
        <f>T5-736</f>
        <v>727</v>
      </c>
      <c r="U49">
        <f>U5-1041</f>
        <v>2162</v>
      </c>
      <c r="V49">
        <f>V5-1234</f>
        <v>1683</v>
      </c>
      <c r="W49">
        <f>W5-1376</f>
        <v>742</v>
      </c>
      <c r="X49">
        <f>X5-1239</f>
        <v>24</v>
      </c>
      <c r="Y49">
        <f>Y5-988</f>
        <v>30</v>
      </c>
      <c r="Z49">
        <f>Z5-736</f>
        <v>295</v>
      </c>
      <c r="AB49">
        <f>AB5-239</f>
        <v>1827.0889999999999</v>
      </c>
      <c r="AC49">
        <f>AC5-240</f>
        <v>2805.9490000000001</v>
      </c>
      <c r="AD49">
        <f>AD5-233</f>
        <v>1859.415</v>
      </c>
      <c r="AE49">
        <f>AE5-272</f>
        <v>1975.4070000000002</v>
      </c>
      <c r="AF49">
        <f>AF5-301</f>
        <v>3239.482</v>
      </c>
      <c r="AG49">
        <f>AG5-414</f>
        <v>3438.7020000000002</v>
      </c>
      <c r="AH49">
        <f>AH5-477</f>
        <v>3947.6540000000005</v>
      </c>
      <c r="AI49">
        <f>AI5-746</f>
        <v>4281.2690000000002</v>
      </c>
      <c r="AJ49">
        <f>AJ5-787</f>
        <v>5010.7610000000004</v>
      </c>
      <c r="AK49">
        <f>AK5-1025</f>
        <v>3765.0039999999999</v>
      </c>
      <c r="AL49">
        <f>AL5-1338</f>
        <v>5267.0649999999996</v>
      </c>
      <c r="AP49">
        <f>AP5-125</f>
        <v>3210</v>
      </c>
      <c r="AQ49">
        <f>AQ5-161</f>
        <v>496</v>
      </c>
      <c r="AR49">
        <f>AR5-181</f>
        <v>568</v>
      </c>
      <c r="AS49">
        <f>AS5-251</f>
        <v>876</v>
      </c>
      <c r="AT49">
        <f>AT5-546</f>
        <v>868</v>
      </c>
      <c r="AU49">
        <f>AU5-807</f>
        <v>273</v>
      </c>
      <c r="AV49">
        <f>AV5-984</f>
        <v>-31</v>
      </c>
      <c r="AW49">
        <f>AW5-966</f>
        <v>87</v>
      </c>
      <c r="AX49">
        <f>AX5-895</f>
        <v>83</v>
      </c>
      <c r="AY49">
        <f>AY5-864</f>
        <v>-246</v>
      </c>
      <c r="AZ49">
        <f>AZ5-617</f>
        <v>-51</v>
      </c>
      <c r="BB49">
        <v>1892</v>
      </c>
      <c r="BC49">
        <v>3651</v>
      </c>
      <c r="BD49">
        <v>1058</v>
      </c>
      <c r="BE49">
        <v>1528</v>
      </c>
      <c r="BF49">
        <v>1649</v>
      </c>
      <c r="BG49">
        <v>1134</v>
      </c>
      <c r="BH49">
        <v>2899</v>
      </c>
      <c r="BI49">
        <v>2759</v>
      </c>
      <c r="BJ49">
        <v>1850</v>
      </c>
      <c r="BK49">
        <v>757</v>
      </c>
      <c r="BL49">
        <v>1401</v>
      </c>
      <c r="BM49">
        <v>-54</v>
      </c>
    </row>
    <row r="50" spans="2:65">
      <c r="B50">
        <f>B6-171</f>
        <v>1667</v>
      </c>
      <c r="C50">
        <f>C6-199</f>
        <v>4051</v>
      </c>
      <c r="D50">
        <f>D6-265</f>
        <v>1239</v>
      </c>
      <c r="E50">
        <f>E6-340</f>
        <v>1667</v>
      </c>
      <c r="F50">
        <f>F6-500</f>
        <v>1734</v>
      </c>
      <c r="G50">
        <f>G6-1030</f>
        <v>2136</v>
      </c>
      <c r="H50">
        <f>H6-1297</f>
        <v>3735</v>
      </c>
      <c r="I50">
        <f>I6-1043</f>
        <v>2551</v>
      </c>
      <c r="J50">
        <f>J6-1002</f>
        <v>2471</v>
      </c>
      <c r="K50">
        <f>K6-886</f>
        <v>936</v>
      </c>
      <c r="M50">
        <f>M6-851</f>
        <v>77</v>
      </c>
      <c r="O50">
        <f>O6-135</f>
        <v>1405</v>
      </c>
      <c r="P50">
        <f>P6-148</f>
        <v>2819</v>
      </c>
      <c r="R50">
        <f>R6-211</f>
        <v>1079</v>
      </c>
      <c r="S50">
        <f>S6-522</f>
        <v>1903</v>
      </c>
      <c r="T50">
        <f>T6-736</f>
        <v>851</v>
      </c>
      <c r="U50">
        <f>U6-1041</f>
        <v>1804</v>
      </c>
      <c r="V50">
        <f>V6-1234</f>
        <v>2088</v>
      </c>
      <c r="W50">
        <f>W6-1376</f>
        <v>446</v>
      </c>
      <c r="X50">
        <f>X6-1239</f>
        <v>413</v>
      </c>
      <c r="Y50">
        <f>Y6-988</f>
        <v>-131</v>
      </c>
      <c r="AB50">
        <f>AB6-239</f>
        <v>1927.3380000000002</v>
      </c>
      <c r="AC50">
        <f>AC6-240</f>
        <v>4139.4080000000004</v>
      </c>
      <c r="AD50">
        <f>AD6-233</f>
        <v>2046.4839999999999</v>
      </c>
      <c r="AE50">
        <f>AE6-272</f>
        <v>1653.2159999999999</v>
      </c>
      <c r="AF50">
        <f>AF6-301</f>
        <v>3131.8760000000002</v>
      </c>
      <c r="AG50">
        <f>AG6-414</f>
        <v>4380.6589999999997</v>
      </c>
      <c r="AH50">
        <f>AH6-477</f>
        <v>4004.6139999999996</v>
      </c>
      <c r="AI50">
        <f>AI6-746</f>
        <v>4419.5209999999997</v>
      </c>
      <c r="AJ50">
        <f>AJ6-787</f>
        <v>3942.9260000000004</v>
      </c>
      <c r="AK50">
        <f>AK6-1025</f>
        <v>5062.6459999999997</v>
      </c>
      <c r="AT50">
        <f>AT6-546</f>
        <v>659</v>
      </c>
      <c r="AU50">
        <f>AU6-807</f>
        <v>433</v>
      </c>
      <c r="AV50">
        <f>AV6-984</f>
        <v>656</v>
      </c>
      <c r="AW50">
        <f>AW6-966</f>
        <v>60</v>
      </c>
      <c r="AY50">
        <f>AY6-864</f>
        <v>-159</v>
      </c>
      <c r="BB50">
        <v>1685</v>
      </c>
      <c r="BC50">
        <v>4076</v>
      </c>
      <c r="BD50">
        <v>1285</v>
      </c>
      <c r="BE50">
        <v>1716</v>
      </c>
      <c r="BF50">
        <v>1719</v>
      </c>
      <c r="BG50">
        <v>2241</v>
      </c>
      <c r="BH50">
        <v>3877</v>
      </c>
      <c r="BI50">
        <v>2477</v>
      </c>
      <c r="BJ50">
        <v>2301</v>
      </c>
      <c r="BK50">
        <v>715</v>
      </c>
      <c r="BL50">
        <v>-323</v>
      </c>
      <c r="BM50">
        <v>134</v>
      </c>
    </row>
    <row r="51" spans="2:65">
      <c r="B51">
        <f>B7-171</f>
        <v>1502</v>
      </c>
      <c r="D51">
        <f>D7-265</f>
        <v>979</v>
      </c>
      <c r="E51">
        <f>E7-340</f>
        <v>1226</v>
      </c>
      <c r="F51">
        <f>F7-500</f>
        <v>1533</v>
      </c>
      <c r="G51">
        <f>G7-1030</f>
        <v>1513</v>
      </c>
      <c r="H51">
        <f>H7-1297</f>
        <v>1564</v>
      </c>
      <c r="I51">
        <f>I7-1043</f>
        <v>3181</v>
      </c>
      <c r="J51">
        <f>J7-1002</f>
        <v>2628</v>
      </c>
      <c r="K51">
        <f>K7-886</f>
        <v>934</v>
      </c>
      <c r="O51">
        <f>O7-135</f>
        <v>1411</v>
      </c>
      <c r="P51">
        <f>P7-148</f>
        <v>2550</v>
      </c>
      <c r="R51">
        <f>R7-211</f>
        <v>1297</v>
      </c>
      <c r="S51">
        <f>S7-522</f>
        <v>1309</v>
      </c>
      <c r="T51">
        <f>T7-736</f>
        <v>1504</v>
      </c>
      <c r="V51">
        <f>V7-1234</f>
        <v>2336</v>
      </c>
      <c r="W51">
        <f>W7-1376</f>
        <v>470</v>
      </c>
      <c r="X51">
        <f>X7-1239</f>
        <v>390</v>
      </c>
      <c r="Y51">
        <f>Y7-988</f>
        <v>179</v>
      </c>
      <c r="AB51">
        <f>AB7-239</f>
        <v>2011.2249999999999</v>
      </c>
      <c r="AC51">
        <f>AC7-240</f>
        <v>3720.0239999999999</v>
      </c>
      <c r="AE51">
        <f>AE7-272</f>
        <v>2219.0419999999999</v>
      </c>
      <c r="AG51">
        <f>AG7-414</f>
        <v>3726.9579999999996</v>
      </c>
      <c r="AH51">
        <f>AH7-477</f>
        <v>4048.3</v>
      </c>
      <c r="AJ51">
        <f>AJ7-787</f>
        <v>6313.41</v>
      </c>
      <c r="AT51">
        <f>AT7-546</f>
        <v>1031</v>
      </c>
      <c r="AU51">
        <f>AU7-807</f>
        <v>881</v>
      </c>
      <c r="AV51">
        <f>AV7-984</f>
        <v>327</v>
      </c>
      <c r="AW51">
        <f>AW7-966</f>
        <v>368</v>
      </c>
      <c r="BB51">
        <v>1520</v>
      </c>
      <c r="BC51">
        <v>2868</v>
      </c>
      <c r="BD51">
        <v>1025</v>
      </c>
      <c r="BE51">
        <v>1275</v>
      </c>
      <c r="BF51">
        <v>1518</v>
      </c>
      <c r="BG51">
        <v>1618</v>
      </c>
      <c r="BH51">
        <v>1706</v>
      </c>
      <c r="BI51">
        <v>3107</v>
      </c>
      <c r="BJ51">
        <v>2458</v>
      </c>
      <c r="BK51">
        <v>713</v>
      </c>
      <c r="BL51">
        <v>-188</v>
      </c>
      <c r="BM51">
        <v>453</v>
      </c>
    </row>
    <row r="52" spans="2:65">
      <c r="B52">
        <f>B8-171</f>
        <v>2043</v>
      </c>
      <c r="D52">
        <f>D8-265</f>
        <v>915</v>
      </c>
      <c r="F52">
        <f>F8-500</f>
        <v>1276</v>
      </c>
      <c r="G52">
        <f>G8-1030</f>
        <v>2317</v>
      </c>
      <c r="H52">
        <f>H8-1297</f>
        <v>2288</v>
      </c>
      <c r="I52">
        <f>I8-1043</f>
        <v>2911</v>
      </c>
      <c r="J52">
        <f>J8-1002</f>
        <v>1832</v>
      </c>
      <c r="K52">
        <f>K8-886</f>
        <v>2052</v>
      </c>
      <c r="S52">
        <f>S8-522</f>
        <v>956</v>
      </c>
      <c r="T52">
        <f>T8-736</f>
        <v>1336</v>
      </c>
      <c r="W52">
        <f>W8-1376</f>
        <v>1666</v>
      </c>
      <c r="X52">
        <f>X8-1239</f>
        <v>812</v>
      </c>
      <c r="AC52">
        <f>AC8-240</f>
        <v>3836.0070000000001</v>
      </c>
      <c r="AE52">
        <f>AE8-272</f>
        <v>1820.5830000000001</v>
      </c>
      <c r="AH52">
        <f>AH8-477</f>
        <v>4464.0910000000003</v>
      </c>
      <c r="AJ52">
        <f>AJ8-787</f>
        <v>4166.8220000000001</v>
      </c>
      <c r="BB52">
        <v>2061</v>
      </c>
      <c r="BC52">
        <v>2657</v>
      </c>
      <c r="BD52">
        <v>961</v>
      </c>
      <c r="BE52">
        <v>860</v>
      </c>
      <c r="BF52">
        <v>1261</v>
      </c>
      <c r="BG52">
        <v>2422</v>
      </c>
      <c r="BH52">
        <v>2430</v>
      </c>
      <c r="BI52">
        <v>2837</v>
      </c>
      <c r="BJ52">
        <v>1662</v>
      </c>
      <c r="BK52">
        <v>1831</v>
      </c>
      <c r="BL52">
        <v>140</v>
      </c>
      <c r="BM52">
        <v>-137</v>
      </c>
    </row>
    <row r="53" spans="2:65">
      <c r="B53">
        <f>B9-171</f>
        <v>2892</v>
      </c>
      <c r="F53">
        <f>F9-500</f>
        <v>1475</v>
      </c>
      <c r="G53">
        <f>G9-1030</f>
        <v>2762</v>
      </c>
      <c r="H53">
        <f>H9-1297</f>
        <v>1575</v>
      </c>
      <c r="I53">
        <f>I9-1043</f>
        <v>3305</v>
      </c>
      <c r="J53">
        <f>J9-1002</f>
        <v>2354</v>
      </c>
      <c r="K53">
        <f>K9-886</f>
        <v>1924</v>
      </c>
      <c r="S53">
        <f>S9-522</f>
        <v>1253</v>
      </c>
      <c r="T53">
        <f>T9-736</f>
        <v>2382</v>
      </c>
      <c r="W53">
        <f>W9-1376</f>
        <v>947</v>
      </c>
      <c r="X53">
        <f>X9-1239</f>
        <v>1150</v>
      </c>
      <c r="AH53">
        <f>AH9-477</f>
        <v>4803.49</v>
      </c>
      <c r="BB53">
        <v>2910</v>
      </c>
      <c r="BC53">
        <v>2402</v>
      </c>
      <c r="BD53">
        <v>876</v>
      </c>
      <c r="BE53">
        <v>894</v>
      </c>
      <c r="BF53">
        <v>1460</v>
      </c>
      <c r="BG53">
        <v>2867</v>
      </c>
      <c r="BH53">
        <v>1717</v>
      </c>
      <c r="BI53">
        <v>3231</v>
      </c>
      <c r="BJ53">
        <v>2184</v>
      </c>
      <c r="BK53">
        <v>1703</v>
      </c>
      <c r="BL53">
        <v>-218</v>
      </c>
      <c r="BM53">
        <v>-91</v>
      </c>
    </row>
    <row r="54" spans="2:65">
      <c r="F54">
        <f>F10-500</f>
        <v>1227</v>
      </c>
      <c r="G54">
        <f>G10-1030</f>
        <v>1575</v>
      </c>
      <c r="H54">
        <f>H10-1297</f>
        <v>3138</v>
      </c>
      <c r="I54">
        <f>I10-1043</f>
        <v>3655</v>
      </c>
      <c r="J54">
        <f>J10-1002</f>
        <v>2348</v>
      </c>
      <c r="K54">
        <f>K10-886</f>
        <v>1830</v>
      </c>
      <c r="S54">
        <f>S10-522</f>
        <v>849</v>
      </c>
      <c r="T54">
        <f>T10-736</f>
        <v>1816</v>
      </c>
      <c r="W54">
        <f>W10-1376</f>
        <v>1090</v>
      </c>
      <c r="X54">
        <f>X10-1239</f>
        <v>416</v>
      </c>
      <c r="AH54">
        <f>AH10-477</f>
        <v>4546.3500000000004</v>
      </c>
      <c r="BB54">
        <v>1453</v>
      </c>
      <c r="BC54">
        <v>1962</v>
      </c>
      <c r="BD54">
        <v>1436</v>
      </c>
      <c r="BE54">
        <v>1123</v>
      </c>
      <c r="BF54">
        <v>1212</v>
      </c>
      <c r="BG54">
        <v>1680</v>
      </c>
      <c r="BH54">
        <v>3280</v>
      </c>
      <c r="BI54">
        <v>3581</v>
      </c>
      <c r="BJ54">
        <v>2178</v>
      </c>
      <c r="BK54">
        <v>1609</v>
      </c>
      <c r="BL54">
        <v>-379</v>
      </c>
      <c r="BM54">
        <v>237</v>
      </c>
    </row>
    <row r="55" spans="2:65">
      <c r="G55">
        <f>G11-1030</f>
        <v>2954</v>
      </c>
      <c r="H55">
        <f>H11-1297</f>
        <v>2717</v>
      </c>
      <c r="I55">
        <f>I11-1043</f>
        <v>2793</v>
      </c>
      <c r="K55">
        <f>K11-886</f>
        <v>1311</v>
      </c>
      <c r="AH55">
        <f>AH11-477</f>
        <v>4978.6729999999998</v>
      </c>
      <c r="BB55">
        <v>1307</v>
      </c>
      <c r="BC55">
        <v>2793</v>
      </c>
      <c r="BD55">
        <v>595</v>
      </c>
      <c r="BE55">
        <v>879</v>
      </c>
      <c r="BF55">
        <v>1276</v>
      </c>
      <c r="BG55">
        <v>3059</v>
      </c>
      <c r="BH55">
        <v>2859</v>
      </c>
      <c r="BI55">
        <v>2719</v>
      </c>
      <c r="BJ55">
        <v>1465</v>
      </c>
      <c r="BK55">
        <v>1090</v>
      </c>
      <c r="BL55">
        <v>-69</v>
      </c>
    </row>
    <row r="56" spans="2:65">
      <c r="G56">
        <f>G12-1030</f>
        <v>1727</v>
      </c>
      <c r="I56">
        <f>I12-1043</f>
        <v>2895</v>
      </c>
      <c r="AH56">
        <f>AH12-477</f>
        <v>4338.2860000000001</v>
      </c>
      <c r="BB56">
        <v>1105</v>
      </c>
      <c r="BC56">
        <v>2524</v>
      </c>
      <c r="BD56">
        <v>933</v>
      </c>
      <c r="BE56">
        <v>999</v>
      </c>
      <c r="BF56">
        <v>1397</v>
      </c>
      <c r="BG56">
        <v>1832</v>
      </c>
      <c r="BH56">
        <v>2383</v>
      </c>
      <c r="BI56">
        <v>2821</v>
      </c>
      <c r="BJ56">
        <v>181</v>
      </c>
      <c r="BK56">
        <v>1146</v>
      </c>
    </row>
    <row r="57" spans="2:65">
      <c r="G57">
        <f>G13-1030</f>
        <v>2204</v>
      </c>
      <c r="BB57">
        <v>1197</v>
      </c>
      <c r="BE57">
        <v>1217</v>
      </c>
      <c r="BF57">
        <v>1018</v>
      </c>
      <c r="BG57">
        <v>2309</v>
      </c>
      <c r="BH57">
        <v>1457</v>
      </c>
      <c r="BI57">
        <v>2282</v>
      </c>
      <c r="BJ57">
        <v>645</v>
      </c>
      <c r="BK57">
        <v>1096</v>
      </c>
    </row>
    <row r="58" spans="2:65">
      <c r="BB58">
        <v>1387</v>
      </c>
      <c r="BF58">
        <v>1128</v>
      </c>
      <c r="BG58">
        <v>1769</v>
      </c>
      <c r="BH58">
        <v>1541</v>
      </c>
      <c r="BI58">
        <v>259</v>
      </c>
      <c r="BJ58">
        <v>946</v>
      </c>
      <c r="BK58">
        <v>618</v>
      </c>
    </row>
    <row r="59" spans="2:65">
      <c r="BB59">
        <v>1393</v>
      </c>
      <c r="BF59">
        <v>1910</v>
      </c>
      <c r="BG59">
        <v>1062</v>
      </c>
      <c r="BH59">
        <v>2048</v>
      </c>
      <c r="BI59">
        <v>2013</v>
      </c>
      <c r="BJ59">
        <v>650</v>
      </c>
      <c r="BK59">
        <v>156</v>
      </c>
    </row>
    <row r="60" spans="2:65">
      <c r="BF60">
        <v>1316</v>
      </c>
      <c r="BG60">
        <v>1679</v>
      </c>
      <c r="BH60">
        <v>1690</v>
      </c>
      <c r="BI60">
        <v>1800</v>
      </c>
      <c r="BJ60">
        <v>674</v>
      </c>
      <c r="BK60">
        <v>545</v>
      </c>
    </row>
    <row r="61" spans="2:65">
      <c r="BF61">
        <v>963</v>
      </c>
      <c r="BG61">
        <v>538</v>
      </c>
      <c r="BI61">
        <v>2205</v>
      </c>
      <c r="BJ61">
        <v>1870</v>
      </c>
      <c r="BK61">
        <v>522</v>
      </c>
    </row>
    <row r="62" spans="2:65">
      <c r="BF62">
        <v>1260</v>
      </c>
      <c r="BG62">
        <v>662</v>
      </c>
      <c r="BI62">
        <v>2453</v>
      </c>
      <c r="BJ62">
        <v>1151</v>
      </c>
      <c r="BK62">
        <v>944</v>
      </c>
    </row>
    <row r="63" spans="2:65">
      <c r="BF63">
        <v>856</v>
      </c>
      <c r="BG63">
        <v>1315</v>
      </c>
      <c r="BJ63">
        <v>1294</v>
      </c>
      <c r="BK63">
        <v>1282</v>
      </c>
    </row>
    <row r="64" spans="2:65">
      <c r="BG64">
        <v>1147</v>
      </c>
      <c r="BK64">
        <v>548</v>
      </c>
    </row>
    <row r="65" spans="1:65">
      <c r="BG65">
        <v>2193</v>
      </c>
    </row>
    <row r="66" spans="1:65">
      <c r="BG66">
        <v>1627</v>
      </c>
    </row>
    <row r="68" spans="1:65">
      <c r="A68" t="s">
        <v>12</v>
      </c>
      <c r="B68">
        <f>AVERAGE(B46:B59)</f>
        <v>1863.5</v>
      </c>
      <c r="C68">
        <f t="shared" ref="C68:AZ68" si="1">AVERAGE(C46:C59)</f>
        <v>3602.6</v>
      </c>
      <c r="D68">
        <f t="shared" si="1"/>
        <v>1160.4285714285713</v>
      </c>
      <c r="E68">
        <f t="shared" si="1"/>
        <v>1241</v>
      </c>
      <c r="F68">
        <f t="shared" si="1"/>
        <v>1589.3333333333333</v>
      </c>
      <c r="G68">
        <f t="shared" si="1"/>
        <v>2044.9166666666667</v>
      </c>
      <c r="H68">
        <f t="shared" si="1"/>
        <v>2757.6</v>
      </c>
      <c r="I68">
        <f t="shared" si="1"/>
        <v>3156.4545454545455</v>
      </c>
      <c r="J68">
        <f t="shared" si="1"/>
        <v>2212.4444444444443</v>
      </c>
      <c r="K68">
        <f t="shared" si="1"/>
        <v>1592.7</v>
      </c>
      <c r="L68">
        <f t="shared" si="1"/>
        <v>229.33333333333334</v>
      </c>
      <c r="M68">
        <f t="shared" si="1"/>
        <v>176</v>
      </c>
      <c r="O68">
        <f t="shared" si="1"/>
        <v>1325</v>
      </c>
      <c r="P68">
        <f t="shared" si="1"/>
        <v>2560.3333333333335</v>
      </c>
      <c r="Q68">
        <f t="shared" si="1"/>
        <v>1007</v>
      </c>
      <c r="R68">
        <f t="shared" si="1"/>
        <v>1075.3333333333333</v>
      </c>
      <c r="S68">
        <f t="shared" si="1"/>
        <v>1229</v>
      </c>
      <c r="T68">
        <f t="shared" si="1"/>
        <v>1521.4444444444443</v>
      </c>
      <c r="U68">
        <f t="shared" si="1"/>
        <v>1937.8</v>
      </c>
      <c r="V68">
        <f t="shared" si="1"/>
        <v>1718.3333333333333</v>
      </c>
      <c r="W68">
        <f t="shared" si="1"/>
        <v>782.22222222222217</v>
      </c>
      <c r="X68">
        <f t="shared" si="1"/>
        <v>629.88888888888891</v>
      </c>
      <c r="Y68">
        <f t="shared" si="1"/>
        <v>75.166666666666671</v>
      </c>
      <c r="Z68">
        <f t="shared" si="1"/>
        <v>173.5</v>
      </c>
      <c r="AB68">
        <f t="shared" si="1"/>
        <v>1881.0283333333334</v>
      </c>
      <c r="AC68">
        <f t="shared" si="1"/>
        <v>3746.3020000000001</v>
      </c>
      <c r="AD68">
        <f t="shared" si="1"/>
        <v>2025.3796000000002</v>
      </c>
      <c r="AE68">
        <f t="shared" si="1"/>
        <v>2083.4774285714288</v>
      </c>
      <c r="AF68">
        <f t="shared" si="1"/>
        <v>2916.8578000000002</v>
      </c>
      <c r="AG68">
        <f t="shared" si="1"/>
        <v>4285.8183333333336</v>
      </c>
      <c r="AH68">
        <f t="shared" si="1"/>
        <v>4588.7861818181818</v>
      </c>
      <c r="AI68">
        <f t="shared" si="1"/>
        <v>4766.9529999999995</v>
      </c>
      <c r="AJ68">
        <f t="shared" si="1"/>
        <v>4791.0447142857138</v>
      </c>
      <c r="AK68">
        <f t="shared" si="1"/>
        <v>4621.6728000000003</v>
      </c>
      <c r="AL68">
        <f t="shared" si="1"/>
        <v>4982.0232499999993</v>
      </c>
      <c r="AM68">
        <f t="shared" si="1"/>
        <v>5045.5905000000002</v>
      </c>
      <c r="AO68">
        <f t="shared" si="1"/>
        <v>1476.6666666666667</v>
      </c>
      <c r="AP68">
        <f t="shared" si="1"/>
        <v>2333</v>
      </c>
      <c r="AQ68">
        <f t="shared" si="1"/>
        <v>564.5</v>
      </c>
      <c r="AR68">
        <f t="shared" si="1"/>
        <v>719.25</v>
      </c>
      <c r="AS68">
        <f t="shared" si="1"/>
        <v>846.75</v>
      </c>
      <c r="AT68">
        <f t="shared" si="1"/>
        <v>701.33333333333337</v>
      </c>
      <c r="AU68">
        <f t="shared" si="1"/>
        <v>585.5</v>
      </c>
      <c r="AV68">
        <f t="shared" si="1"/>
        <v>228</v>
      </c>
      <c r="AW68">
        <f t="shared" si="1"/>
        <v>118.33333333333333</v>
      </c>
      <c r="AX68">
        <f t="shared" si="1"/>
        <v>-68.75</v>
      </c>
      <c r="AY68">
        <f t="shared" si="1"/>
        <v>-175.6</v>
      </c>
      <c r="AZ68">
        <f t="shared" si="1"/>
        <v>33</v>
      </c>
      <c r="BB68">
        <f t="shared" ref="BA68:BM68" si="2">AVERAGE(BB46:BB59)</f>
        <v>1635.2857142857142</v>
      </c>
      <c r="BC68">
        <f t="shared" si="2"/>
        <v>3031.2727272727275</v>
      </c>
      <c r="BD68">
        <f t="shared" si="2"/>
        <v>1116.8181818181818</v>
      </c>
      <c r="BE68">
        <f t="shared" si="2"/>
        <v>1142.6666666666667</v>
      </c>
      <c r="BF68">
        <f t="shared" si="2"/>
        <v>1492.7142857142858</v>
      </c>
      <c r="BG68">
        <f t="shared" si="2"/>
        <v>2045</v>
      </c>
      <c r="BH68">
        <f t="shared" si="2"/>
        <v>2601.7857142857142</v>
      </c>
      <c r="BI68">
        <f t="shared" si="2"/>
        <v>2747.2142857142858</v>
      </c>
      <c r="BJ68">
        <f t="shared" si="2"/>
        <v>1590.6428571428571</v>
      </c>
      <c r="BK68">
        <f t="shared" si="2"/>
        <v>1195.2142857142858</v>
      </c>
      <c r="BL68">
        <f t="shared" si="2"/>
        <v>138.5</v>
      </c>
      <c r="BM68">
        <f t="shared" si="2"/>
        <v>180.77777777777777</v>
      </c>
    </row>
    <row r="69" spans="1:65">
      <c r="A69" t="s">
        <v>13</v>
      </c>
      <c r="B69">
        <f>STDEV(B46:B59)</f>
        <v>460.07794370705739</v>
      </c>
      <c r="C69">
        <f t="shared" ref="C69:AZ69" si="3">STDEV(C46:C59)</f>
        <v>674.34286531407804</v>
      </c>
      <c r="D69">
        <f t="shared" si="3"/>
        <v>304.50826871250268</v>
      </c>
      <c r="E69">
        <f t="shared" si="3"/>
        <v>287.42581651619258</v>
      </c>
      <c r="F69">
        <f t="shared" si="3"/>
        <v>261.71071816033827</v>
      </c>
      <c r="G69">
        <f t="shared" si="3"/>
        <v>534.07021300971485</v>
      </c>
      <c r="H69">
        <f t="shared" si="3"/>
        <v>758.50792129460808</v>
      </c>
      <c r="I69">
        <f t="shared" si="3"/>
        <v>604.72793281547149</v>
      </c>
      <c r="J69">
        <f t="shared" si="3"/>
        <v>289.5125692915214</v>
      </c>
      <c r="K69">
        <f t="shared" si="3"/>
        <v>498.40034109137622</v>
      </c>
      <c r="L69">
        <f t="shared" si="3"/>
        <v>448.74194514590823</v>
      </c>
      <c r="M69">
        <f t="shared" si="3"/>
        <v>270.61781168282329</v>
      </c>
      <c r="O69">
        <f t="shared" si="3"/>
        <v>132.67705151984649</v>
      </c>
      <c r="P69">
        <f t="shared" si="3"/>
        <v>328.16865582603583</v>
      </c>
      <c r="Q69">
        <f t="shared" si="3"/>
        <v>350.04094998537909</v>
      </c>
      <c r="R69">
        <f t="shared" si="3"/>
        <v>146.67333318182486</v>
      </c>
      <c r="S69">
        <f t="shared" si="3"/>
        <v>309.61467988453001</v>
      </c>
      <c r="T69">
        <f t="shared" si="3"/>
        <v>539.26712098715791</v>
      </c>
      <c r="U69">
        <f t="shared" si="3"/>
        <v>385.80785373032546</v>
      </c>
      <c r="V69">
        <f t="shared" si="3"/>
        <v>804.40255262316668</v>
      </c>
      <c r="W69">
        <f t="shared" si="3"/>
        <v>513.46026569194669</v>
      </c>
      <c r="X69">
        <f t="shared" si="3"/>
        <v>370.97723799595997</v>
      </c>
      <c r="Y69">
        <f t="shared" si="3"/>
        <v>187.60108386325138</v>
      </c>
      <c r="Z69">
        <f t="shared" si="3"/>
        <v>279.92082213845163</v>
      </c>
      <c r="AB69">
        <f t="shared" si="3"/>
        <v>388.69996203121246</v>
      </c>
      <c r="AC69">
        <f t="shared" si="3"/>
        <v>503.25023115245432</v>
      </c>
      <c r="AD69">
        <f t="shared" si="3"/>
        <v>130.81887914517537</v>
      </c>
      <c r="AE69">
        <f t="shared" si="3"/>
        <v>279.24858765734012</v>
      </c>
      <c r="AF69">
        <f t="shared" si="3"/>
        <v>558.33911550615778</v>
      </c>
      <c r="AG69">
        <f t="shared" si="3"/>
        <v>684.53823008321729</v>
      </c>
      <c r="AH69">
        <f t="shared" si="3"/>
        <v>526.92974321019574</v>
      </c>
      <c r="AI69">
        <f t="shared" si="3"/>
        <v>393.262546075138</v>
      </c>
      <c r="AJ69">
        <f t="shared" si="3"/>
        <v>1097.1264020197984</v>
      </c>
      <c r="AK69">
        <f t="shared" si="3"/>
        <v>693.19695542154068</v>
      </c>
      <c r="AL69">
        <f t="shared" si="3"/>
        <v>746.00681769287962</v>
      </c>
      <c r="AM69">
        <f t="shared" si="3"/>
        <v>507.35547946237853</v>
      </c>
      <c r="AO69">
        <f t="shared" si="3"/>
        <v>422.55216640473338</v>
      </c>
      <c r="AP69">
        <f t="shared" si="3"/>
        <v>595.65370252633647</v>
      </c>
      <c r="AQ69">
        <f t="shared" si="3"/>
        <v>121.68949557514541</v>
      </c>
      <c r="AR69">
        <f t="shared" si="3"/>
        <v>222.01107329740708</v>
      </c>
      <c r="AS69">
        <f t="shared" si="3"/>
        <v>95.479055294865589</v>
      </c>
      <c r="AT69">
        <f t="shared" si="3"/>
        <v>284.31297308893011</v>
      </c>
      <c r="AU69">
        <f t="shared" si="3"/>
        <v>302.99620459669126</v>
      </c>
      <c r="AV69">
        <f t="shared" si="3"/>
        <v>306.39582242582878</v>
      </c>
      <c r="AW69">
        <f t="shared" si="3"/>
        <v>177.43130125957668</v>
      </c>
      <c r="AX69">
        <f t="shared" si="3"/>
        <v>180.54062331416347</v>
      </c>
      <c r="AY69">
        <f t="shared" si="3"/>
        <v>118.3397650834241</v>
      </c>
      <c r="AZ69">
        <f t="shared" si="3"/>
        <v>187.47977668715808</v>
      </c>
      <c r="BB69">
        <f t="shared" ref="BA69:BM69" si="4">STDEV(BB46:BB59)</f>
        <v>455.84400647782826</v>
      </c>
      <c r="BC69">
        <f t="shared" si="4"/>
        <v>749.47649608364554</v>
      </c>
      <c r="BD69">
        <f t="shared" si="4"/>
        <v>328.40761811560293</v>
      </c>
      <c r="BE69">
        <f t="shared" si="4"/>
        <v>266.47849421442589</v>
      </c>
      <c r="BF69">
        <f t="shared" si="4"/>
        <v>303.38080375645421</v>
      </c>
      <c r="BG69">
        <f t="shared" si="4"/>
        <v>575.93375687460127</v>
      </c>
      <c r="BH69">
        <f t="shared" si="4"/>
        <v>825.33388847940023</v>
      </c>
      <c r="BI69">
        <f t="shared" si="4"/>
        <v>954.33868996537842</v>
      </c>
      <c r="BJ69">
        <f t="shared" si="4"/>
        <v>718.17906564426573</v>
      </c>
      <c r="BK69">
        <f t="shared" si="4"/>
        <v>552.79056801641627</v>
      </c>
      <c r="BL69">
        <f t="shared" si="4"/>
        <v>565.33141705650064</v>
      </c>
      <c r="BM69">
        <f t="shared" si="4"/>
        <v>264.26396735923805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5"/>
  <sheetViews>
    <sheetView zoomScale="75" zoomScaleNormal="75" zoomScalePageLayoutView="75" workbookViewId="0">
      <selection activeCell="B30" sqref="B30"/>
    </sheetView>
  </sheetViews>
  <sheetFormatPr baseColWidth="10" defaultRowHeight="15" x14ac:dyDescent="0"/>
  <cols>
    <col min="1" max="1" width="31.83203125" customWidth="1"/>
  </cols>
  <sheetData>
    <row r="1" spans="1:52">
      <c r="A1" t="s">
        <v>128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</row>
    <row r="2" spans="1:52">
      <c r="B2">
        <v>2345</v>
      </c>
      <c r="C2">
        <v>3849</v>
      </c>
      <c r="D2">
        <v>1027</v>
      </c>
      <c r="E2">
        <v>1245</v>
      </c>
      <c r="F2">
        <v>1948</v>
      </c>
      <c r="G2">
        <v>1696</v>
      </c>
      <c r="H2">
        <v>2534</v>
      </c>
      <c r="I2">
        <v>4008</v>
      </c>
      <c r="J2">
        <v>2554</v>
      </c>
      <c r="K2">
        <v>2546</v>
      </c>
      <c r="L2">
        <v>1232</v>
      </c>
      <c r="M2">
        <v>1221</v>
      </c>
      <c r="O2">
        <v>1254</v>
      </c>
      <c r="P2">
        <v>2912</v>
      </c>
      <c r="Q2">
        <v>968</v>
      </c>
      <c r="R2">
        <v>1202</v>
      </c>
      <c r="S2">
        <v>1638</v>
      </c>
      <c r="T2">
        <v>1754</v>
      </c>
      <c r="U2">
        <v>2466</v>
      </c>
      <c r="V2">
        <v>2369</v>
      </c>
      <c r="W2">
        <v>2936</v>
      </c>
      <c r="X2">
        <v>2626</v>
      </c>
      <c r="Y2">
        <v>2199</v>
      </c>
      <c r="Z2">
        <v>1126</v>
      </c>
      <c r="AB2">
        <v>1676.328</v>
      </c>
      <c r="AC2">
        <v>3693.2849999999999</v>
      </c>
      <c r="AD2">
        <v>1617.66</v>
      </c>
      <c r="AE2">
        <v>2065.364</v>
      </c>
      <c r="AF2">
        <v>3022.9520000000002</v>
      </c>
      <c r="AG2">
        <v>5797.2370000000001</v>
      </c>
      <c r="AH2">
        <v>6632.5929999999998</v>
      </c>
      <c r="AI2">
        <v>11361.691000000001</v>
      </c>
      <c r="AJ2">
        <v>10114.787</v>
      </c>
      <c r="AK2">
        <v>8606.5619999999999</v>
      </c>
      <c r="AL2">
        <v>10561.043</v>
      </c>
      <c r="AM2">
        <v>9300.4830000000002</v>
      </c>
      <c r="AO2">
        <v>1708</v>
      </c>
      <c r="AP2">
        <v>3450</v>
      </c>
      <c r="AQ2">
        <v>1136</v>
      </c>
      <c r="AR2">
        <v>1568</v>
      </c>
      <c r="AS2">
        <v>1804</v>
      </c>
      <c r="AT2">
        <v>3770</v>
      </c>
      <c r="AU2">
        <v>3528</v>
      </c>
      <c r="AV2">
        <v>4761</v>
      </c>
      <c r="AW2">
        <v>5563</v>
      </c>
      <c r="AX2">
        <v>5403</v>
      </c>
      <c r="AY2">
        <v>5300</v>
      </c>
      <c r="AZ2">
        <v>5495</v>
      </c>
    </row>
    <row r="3" spans="1:52">
      <c r="B3">
        <v>1362</v>
      </c>
      <c r="C3">
        <v>2988</v>
      </c>
      <c r="D3">
        <v>940</v>
      </c>
      <c r="E3">
        <v>1560</v>
      </c>
      <c r="F3">
        <v>1880</v>
      </c>
      <c r="G3">
        <v>1435</v>
      </c>
      <c r="H3">
        <v>1420</v>
      </c>
      <c r="I3">
        <v>3922</v>
      </c>
      <c r="J3">
        <v>2114</v>
      </c>
      <c r="K3">
        <v>3026</v>
      </c>
      <c r="L3">
        <v>1309</v>
      </c>
      <c r="M3">
        <v>944</v>
      </c>
      <c r="O3">
        <v>1635</v>
      </c>
      <c r="P3">
        <v>3421</v>
      </c>
      <c r="Q3">
        <v>1159</v>
      </c>
      <c r="R3">
        <v>1524</v>
      </c>
      <c r="S3">
        <v>1289</v>
      </c>
      <c r="T3">
        <v>2784</v>
      </c>
      <c r="U3">
        <v>2977</v>
      </c>
      <c r="V3">
        <v>2905</v>
      </c>
      <c r="W3">
        <v>3122</v>
      </c>
      <c r="X3">
        <v>3046</v>
      </c>
      <c r="Y3">
        <v>1312</v>
      </c>
      <c r="Z3">
        <v>1379</v>
      </c>
      <c r="AB3">
        <v>1772.307</v>
      </c>
      <c r="AC3">
        <v>3449.0940000000001</v>
      </c>
      <c r="AD3">
        <v>2210.0390000000002</v>
      </c>
      <c r="AE3">
        <v>2571.9479999999999</v>
      </c>
      <c r="AF3">
        <v>3436.5390000000002</v>
      </c>
      <c r="AG3">
        <v>5091.6279999999997</v>
      </c>
      <c r="AH3">
        <v>5439.1970000000001</v>
      </c>
      <c r="AI3">
        <v>7773.2420000000002</v>
      </c>
      <c r="AJ3">
        <v>8398.5149999999994</v>
      </c>
      <c r="AK3">
        <v>8512.9740000000002</v>
      </c>
      <c r="AL3">
        <v>9492.8979999999992</v>
      </c>
      <c r="AM3">
        <v>9611.9290000000001</v>
      </c>
      <c r="AO3">
        <v>1699</v>
      </c>
      <c r="AP3">
        <v>3387</v>
      </c>
      <c r="AQ3">
        <v>1137</v>
      </c>
      <c r="AR3">
        <v>1687</v>
      </c>
      <c r="AS3">
        <v>2135</v>
      </c>
      <c r="AT3">
        <v>2116</v>
      </c>
      <c r="AU3">
        <v>5164</v>
      </c>
      <c r="AV3">
        <v>7253</v>
      </c>
      <c r="AW3">
        <v>5898</v>
      </c>
      <c r="AX3">
        <v>5980</v>
      </c>
      <c r="AY3">
        <v>7569</v>
      </c>
      <c r="AZ3">
        <v>6817</v>
      </c>
    </row>
    <row r="4" spans="1:52">
      <c r="B4">
        <v>1503</v>
      </c>
      <c r="C4">
        <v>3048</v>
      </c>
      <c r="D4">
        <v>789</v>
      </c>
      <c r="E4">
        <v>1360</v>
      </c>
      <c r="F4">
        <v>1057</v>
      </c>
      <c r="G4">
        <v>1447</v>
      </c>
      <c r="H4">
        <v>2159</v>
      </c>
      <c r="I4">
        <v>3853</v>
      </c>
      <c r="J4">
        <v>2416</v>
      </c>
      <c r="K4">
        <v>2242</v>
      </c>
      <c r="L4">
        <v>1117</v>
      </c>
      <c r="M4">
        <v>733</v>
      </c>
      <c r="O4">
        <v>1755</v>
      </c>
      <c r="P4">
        <v>3016</v>
      </c>
      <c r="Q4">
        <v>1214</v>
      </c>
      <c r="R4">
        <v>1251</v>
      </c>
      <c r="S4">
        <v>1832</v>
      </c>
      <c r="T4">
        <v>2200</v>
      </c>
      <c r="U4">
        <v>3065</v>
      </c>
      <c r="V4">
        <v>4270</v>
      </c>
      <c r="W4">
        <v>2395</v>
      </c>
      <c r="X4">
        <v>2054</v>
      </c>
      <c r="Y4">
        <v>1337</v>
      </c>
      <c r="Z4">
        <v>1555</v>
      </c>
      <c r="AB4">
        <v>1609.91</v>
      </c>
      <c r="AC4">
        <v>2701.3850000000002</v>
      </c>
      <c r="AD4">
        <v>1537.578</v>
      </c>
      <c r="AE4">
        <v>2818.4769999999999</v>
      </c>
      <c r="AF4">
        <v>3021.4940000000001</v>
      </c>
      <c r="AG4">
        <v>5151.0550000000003</v>
      </c>
      <c r="AH4">
        <v>7004.2190000000001</v>
      </c>
      <c r="AI4">
        <v>7935.8980000000001</v>
      </c>
      <c r="AJ4">
        <v>11184.441000000001</v>
      </c>
      <c r="AK4">
        <v>9549.2129999999997</v>
      </c>
      <c r="AL4">
        <v>12506.684999999999</v>
      </c>
      <c r="AM4">
        <v>8579.0939999999991</v>
      </c>
      <c r="AO4">
        <v>1347</v>
      </c>
      <c r="AP4">
        <v>3977</v>
      </c>
      <c r="AQ4">
        <v>1192</v>
      </c>
      <c r="AR4">
        <v>1348</v>
      </c>
      <c r="AS4">
        <v>1423</v>
      </c>
      <c r="AT4">
        <v>2648</v>
      </c>
      <c r="AU4">
        <v>3251</v>
      </c>
      <c r="AV4">
        <v>4603</v>
      </c>
      <c r="AW4">
        <v>5637</v>
      </c>
      <c r="AX4">
        <v>5341</v>
      </c>
      <c r="AY4">
        <v>5778</v>
      </c>
      <c r="AZ4">
        <v>7805</v>
      </c>
    </row>
    <row r="5" spans="1:52">
      <c r="B5">
        <v>1988</v>
      </c>
      <c r="C5">
        <v>3079</v>
      </c>
      <c r="D5">
        <v>1109</v>
      </c>
      <c r="E5">
        <v>1138</v>
      </c>
      <c r="F5">
        <v>1429</v>
      </c>
      <c r="G5">
        <v>1927</v>
      </c>
      <c r="H5">
        <v>2752</v>
      </c>
      <c r="I5">
        <v>3289</v>
      </c>
      <c r="J5">
        <v>3694</v>
      </c>
      <c r="K5">
        <v>1794</v>
      </c>
      <c r="L5">
        <v>1102</v>
      </c>
      <c r="M5">
        <v>1030</v>
      </c>
      <c r="Q5">
        <v>1132</v>
      </c>
      <c r="R5">
        <v>869</v>
      </c>
      <c r="T5">
        <v>2130</v>
      </c>
      <c r="V5">
        <v>2656</v>
      </c>
      <c r="W5">
        <v>2250</v>
      </c>
      <c r="Y5">
        <v>1514</v>
      </c>
      <c r="AB5">
        <v>1758.3610000000001</v>
      </c>
      <c r="AC5">
        <v>3471.4459999999999</v>
      </c>
      <c r="AD5">
        <v>1631.02</v>
      </c>
      <c r="AE5">
        <v>1825.357</v>
      </c>
      <c r="AF5">
        <v>2887.6979999999999</v>
      </c>
      <c r="AG5">
        <v>5224.8940000000002</v>
      </c>
      <c r="AH5">
        <v>6694.4139999999998</v>
      </c>
      <c r="AI5">
        <v>7579.8050000000003</v>
      </c>
      <c r="AJ5">
        <v>9441.86</v>
      </c>
      <c r="AK5">
        <v>8869.7090000000007</v>
      </c>
      <c r="AL5">
        <v>9148.9930000000004</v>
      </c>
      <c r="AM5">
        <v>9583.2610000000004</v>
      </c>
      <c r="AO5">
        <v>1940</v>
      </c>
      <c r="AP5">
        <v>3821</v>
      </c>
      <c r="AQ5">
        <v>1229</v>
      </c>
      <c r="AR5">
        <v>1390</v>
      </c>
      <c r="AS5">
        <v>1767</v>
      </c>
      <c r="AT5">
        <v>2665</v>
      </c>
      <c r="AU5">
        <v>3615</v>
      </c>
      <c r="AV5">
        <v>4945</v>
      </c>
      <c r="AW5">
        <v>6966</v>
      </c>
      <c r="AX5">
        <v>4713</v>
      </c>
      <c r="AY5">
        <v>8083</v>
      </c>
      <c r="AZ5">
        <v>4183</v>
      </c>
    </row>
    <row r="6" spans="1:52">
      <c r="B6">
        <v>1395</v>
      </c>
      <c r="C6">
        <v>3719</v>
      </c>
      <c r="D6">
        <v>1117</v>
      </c>
      <c r="E6">
        <v>1228</v>
      </c>
      <c r="F6">
        <v>1708</v>
      </c>
      <c r="G6">
        <v>2087</v>
      </c>
      <c r="H6">
        <v>2007</v>
      </c>
      <c r="I6">
        <v>2264</v>
      </c>
      <c r="J6">
        <v>1976</v>
      </c>
      <c r="K6">
        <v>2391</v>
      </c>
      <c r="L6">
        <v>1144</v>
      </c>
      <c r="M6">
        <v>1420</v>
      </c>
      <c r="V6">
        <v>2503</v>
      </c>
      <c r="Y6">
        <v>2080</v>
      </c>
      <c r="AB6">
        <v>1562.463</v>
      </c>
      <c r="AC6">
        <v>3367.26</v>
      </c>
      <c r="AD6">
        <v>2081.2849999999999</v>
      </c>
      <c r="AE6">
        <v>1916.75</v>
      </c>
      <c r="AF6">
        <v>4334.0039999999999</v>
      </c>
      <c r="AG6">
        <v>5112.085</v>
      </c>
      <c r="AH6">
        <v>6399.4989999999998</v>
      </c>
      <c r="AJ6">
        <v>10127.120000000001</v>
      </c>
      <c r="AK6">
        <v>13216.647000000001</v>
      </c>
      <c r="AM6">
        <v>9214.6280000000006</v>
      </c>
      <c r="AP6">
        <v>2678</v>
      </c>
      <c r="AQ6">
        <v>1194</v>
      </c>
      <c r="AS6">
        <v>1935</v>
      </c>
      <c r="AT6">
        <v>2724</v>
      </c>
      <c r="AU6">
        <v>5351</v>
      </c>
      <c r="AV6">
        <v>8051</v>
      </c>
      <c r="AW6">
        <v>7011</v>
      </c>
      <c r="AX6">
        <v>6100</v>
      </c>
      <c r="AZ6">
        <v>6267</v>
      </c>
    </row>
    <row r="7" spans="1:52">
      <c r="B7">
        <v>1595</v>
      </c>
      <c r="D7">
        <v>1133</v>
      </c>
      <c r="E7">
        <v>883</v>
      </c>
      <c r="F7">
        <v>1840</v>
      </c>
      <c r="G7">
        <v>1782</v>
      </c>
      <c r="H7">
        <v>3380</v>
      </c>
      <c r="I7">
        <v>3898</v>
      </c>
      <c r="J7">
        <v>2166</v>
      </c>
      <c r="K7">
        <v>1896</v>
      </c>
      <c r="M7">
        <v>860</v>
      </c>
      <c r="V7">
        <v>2494</v>
      </c>
      <c r="Y7">
        <v>1309</v>
      </c>
      <c r="AB7">
        <v>2297.1819999999998</v>
      </c>
      <c r="AD7">
        <v>1380.309</v>
      </c>
      <c r="AF7">
        <v>3261.8829999999998</v>
      </c>
      <c r="AG7">
        <v>5066.1949999999997</v>
      </c>
      <c r="AH7">
        <v>5988.0039999999999</v>
      </c>
      <c r="AJ7">
        <v>9784.7430000000004</v>
      </c>
      <c r="AK7">
        <v>9748.7330000000002</v>
      </c>
      <c r="AP7">
        <v>3201</v>
      </c>
      <c r="AS7">
        <v>2230</v>
      </c>
      <c r="AT7">
        <v>2365</v>
      </c>
      <c r="AU7">
        <v>5707</v>
      </c>
      <c r="AV7">
        <v>6851</v>
      </c>
      <c r="AW7">
        <v>7574</v>
      </c>
      <c r="AX7">
        <v>6906</v>
      </c>
    </row>
    <row r="8" spans="1:52">
      <c r="E8">
        <v>1221</v>
      </c>
      <c r="F8">
        <v>1530</v>
      </c>
      <c r="G8">
        <v>2010</v>
      </c>
      <c r="H8">
        <v>3322</v>
      </c>
      <c r="I8">
        <v>3996</v>
      </c>
      <c r="J8">
        <v>2750</v>
      </c>
      <c r="K8">
        <v>2390</v>
      </c>
      <c r="M8">
        <v>860</v>
      </c>
      <c r="Y8">
        <v>1327</v>
      </c>
      <c r="AS8">
        <v>1983</v>
      </c>
      <c r="AT8">
        <v>2663</v>
      </c>
      <c r="AW8">
        <v>6450</v>
      </c>
    </row>
    <row r="9" spans="1:52">
      <c r="E9">
        <v>1076</v>
      </c>
      <c r="G9">
        <v>1715</v>
      </c>
      <c r="H9">
        <v>2057</v>
      </c>
      <c r="I9">
        <v>2350</v>
      </c>
      <c r="J9">
        <v>3508</v>
      </c>
      <c r="K9">
        <v>2236</v>
      </c>
      <c r="AS9">
        <v>1799</v>
      </c>
      <c r="AW9">
        <v>8144</v>
      </c>
    </row>
    <row r="10" spans="1:52">
      <c r="G10">
        <v>2031</v>
      </c>
      <c r="I10">
        <v>2984</v>
      </c>
      <c r="J10">
        <v>1730</v>
      </c>
      <c r="AW10">
        <v>7506</v>
      </c>
    </row>
    <row r="11" spans="1:52">
      <c r="I11">
        <v>3398</v>
      </c>
      <c r="J11">
        <v>2853</v>
      </c>
    </row>
    <row r="12" spans="1:52">
      <c r="I12">
        <v>3130</v>
      </c>
      <c r="J12">
        <v>2106</v>
      </c>
    </row>
    <row r="13" spans="1:52">
      <c r="I13">
        <v>2601</v>
      </c>
    </row>
    <row r="14" spans="1:52">
      <c r="I14">
        <v>2305</v>
      </c>
    </row>
    <row r="15" spans="1:52">
      <c r="I15">
        <v>3558</v>
      </c>
    </row>
    <row r="21" spans="1:52">
      <c r="A21" t="s">
        <v>129</v>
      </c>
      <c r="B21">
        <v>204</v>
      </c>
      <c r="C21">
        <v>216</v>
      </c>
      <c r="D21">
        <v>269</v>
      </c>
      <c r="E21">
        <v>334</v>
      </c>
      <c r="F21">
        <v>330</v>
      </c>
      <c r="G21">
        <v>718</v>
      </c>
      <c r="H21">
        <v>937</v>
      </c>
      <c r="I21">
        <v>1777</v>
      </c>
      <c r="J21">
        <v>1383</v>
      </c>
      <c r="K21">
        <v>1752</v>
      </c>
      <c r="L21">
        <v>977</v>
      </c>
      <c r="M21">
        <v>760</v>
      </c>
      <c r="O21">
        <v>143</v>
      </c>
      <c r="P21">
        <v>145</v>
      </c>
      <c r="Q21">
        <v>154</v>
      </c>
      <c r="R21">
        <v>172</v>
      </c>
      <c r="S21">
        <v>325</v>
      </c>
      <c r="T21">
        <v>725</v>
      </c>
      <c r="U21">
        <v>976</v>
      </c>
      <c r="V21">
        <v>1866</v>
      </c>
      <c r="W21">
        <v>831</v>
      </c>
      <c r="X21">
        <v>2956</v>
      </c>
      <c r="Y21">
        <v>778</v>
      </c>
      <c r="Z21">
        <v>1631</v>
      </c>
      <c r="AB21">
        <v>229.762</v>
      </c>
      <c r="AC21">
        <v>195.02099999999999</v>
      </c>
      <c r="AD21">
        <v>298.44499999999999</v>
      </c>
      <c r="AE21">
        <v>256.08600000000001</v>
      </c>
      <c r="AF21">
        <v>356.77300000000002</v>
      </c>
      <c r="AG21">
        <v>304.40800000000002</v>
      </c>
      <c r="AH21">
        <v>417.459</v>
      </c>
      <c r="AI21">
        <v>1234.3779999999999</v>
      </c>
      <c r="AJ21">
        <v>1761.6759999999999</v>
      </c>
      <c r="AK21">
        <v>709.71500000000003</v>
      </c>
      <c r="AL21">
        <v>1374.384</v>
      </c>
      <c r="AM21">
        <v>2950.2130000000002</v>
      </c>
      <c r="AO21">
        <v>119</v>
      </c>
      <c r="AP21">
        <v>144</v>
      </c>
      <c r="AQ21">
        <v>135</v>
      </c>
      <c r="AR21">
        <v>178</v>
      </c>
      <c r="AS21">
        <v>633</v>
      </c>
      <c r="AT21">
        <v>932</v>
      </c>
      <c r="AU21">
        <v>1603</v>
      </c>
      <c r="AV21">
        <v>2088</v>
      </c>
      <c r="AW21">
        <v>2612</v>
      </c>
      <c r="AX21">
        <v>2796</v>
      </c>
      <c r="AY21">
        <v>3028</v>
      </c>
      <c r="AZ21">
        <v>1890</v>
      </c>
    </row>
    <row r="22" spans="1:52">
      <c r="B22">
        <v>196</v>
      </c>
      <c r="C22">
        <v>205</v>
      </c>
      <c r="D22">
        <v>276</v>
      </c>
      <c r="E22">
        <v>355</v>
      </c>
      <c r="F22">
        <v>562</v>
      </c>
      <c r="G22">
        <v>508</v>
      </c>
      <c r="H22">
        <v>775</v>
      </c>
      <c r="I22">
        <v>1669</v>
      </c>
      <c r="J22">
        <v>1758</v>
      </c>
      <c r="K22">
        <v>1643</v>
      </c>
      <c r="L22">
        <v>1050</v>
      </c>
      <c r="M22">
        <v>1101</v>
      </c>
      <c r="O22">
        <v>131</v>
      </c>
      <c r="P22">
        <v>171</v>
      </c>
      <c r="Q22">
        <v>160</v>
      </c>
      <c r="R22">
        <v>208</v>
      </c>
      <c r="S22">
        <v>326</v>
      </c>
      <c r="T22">
        <v>446</v>
      </c>
      <c r="U22">
        <v>802</v>
      </c>
      <c r="V22">
        <v>1616</v>
      </c>
      <c r="W22">
        <v>1310</v>
      </c>
      <c r="X22">
        <v>2530</v>
      </c>
      <c r="Y22">
        <v>699</v>
      </c>
      <c r="Z22">
        <v>530</v>
      </c>
      <c r="AB22">
        <v>202.30600000000001</v>
      </c>
      <c r="AC22">
        <v>252.102</v>
      </c>
      <c r="AD22">
        <v>284.26100000000002</v>
      </c>
      <c r="AE22">
        <v>208.84200000000001</v>
      </c>
      <c r="AF22">
        <v>361.904</v>
      </c>
      <c r="AG22">
        <v>309.928</v>
      </c>
      <c r="AH22">
        <v>516.65499999999997</v>
      </c>
      <c r="AI22">
        <v>1110.17</v>
      </c>
      <c r="AJ22">
        <v>1958.508</v>
      </c>
      <c r="AK22">
        <v>1745.5440000000001</v>
      </c>
      <c r="AL22">
        <v>1957.144</v>
      </c>
      <c r="AM22">
        <v>2533.5569999999998</v>
      </c>
      <c r="AO22">
        <v>180</v>
      </c>
      <c r="AP22">
        <v>191</v>
      </c>
      <c r="AQ22">
        <v>164</v>
      </c>
      <c r="AR22">
        <v>235</v>
      </c>
      <c r="AS22">
        <v>720</v>
      </c>
      <c r="AT22">
        <v>1069</v>
      </c>
      <c r="AU22">
        <v>1741</v>
      </c>
      <c r="AV22">
        <v>1810</v>
      </c>
      <c r="AW22">
        <v>2217</v>
      </c>
      <c r="AX22">
        <v>2561</v>
      </c>
      <c r="AY22">
        <v>2915</v>
      </c>
      <c r="AZ22">
        <v>1914</v>
      </c>
    </row>
    <row r="23" spans="1:52">
      <c r="B23">
        <v>212</v>
      </c>
      <c r="C23">
        <v>261</v>
      </c>
      <c r="D23">
        <v>275</v>
      </c>
      <c r="E23">
        <v>352</v>
      </c>
      <c r="F23">
        <v>607</v>
      </c>
      <c r="G23">
        <v>671</v>
      </c>
      <c r="H23">
        <v>600</v>
      </c>
      <c r="I23">
        <v>1387</v>
      </c>
      <c r="J23">
        <v>1731</v>
      </c>
      <c r="K23">
        <v>1031</v>
      </c>
      <c r="L23">
        <v>1542</v>
      </c>
      <c r="M23">
        <v>893</v>
      </c>
      <c r="O23">
        <v>150</v>
      </c>
      <c r="P23">
        <v>148</v>
      </c>
      <c r="Q23">
        <v>233</v>
      </c>
      <c r="R23">
        <v>290</v>
      </c>
      <c r="S23">
        <v>885</v>
      </c>
      <c r="T23">
        <v>481</v>
      </c>
      <c r="U23">
        <v>1766</v>
      </c>
      <c r="V23">
        <v>1004</v>
      </c>
      <c r="W23">
        <v>2489</v>
      </c>
      <c r="X23">
        <v>3270</v>
      </c>
      <c r="Y23" s="2">
        <v>790</v>
      </c>
      <c r="Z23">
        <v>1734</v>
      </c>
      <c r="AB23">
        <v>243.75399999999999</v>
      </c>
      <c r="AC23">
        <v>200.96600000000001</v>
      </c>
      <c r="AD23">
        <v>263.41899999999998</v>
      </c>
      <c r="AE23">
        <v>240.976</v>
      </c>
      <c r="AF23">
        <v>341.12400000000002</v>
      </c>
      <c r="AG23">
        <v>276.245</v>
      </c>
      <c r="AH23">
        <v>351.24900000000002</v>
      </c>
      <c r="AI23">
        <v>1010.931</v>
      </c>
      <c r="AJ23">
        <v>1794.4680000000001</v>
      </c>
      <c r="AK23">
        <v>2158.7489999999998</v>
      </c>
      <c r="AL23">
        <v>2476.8879999999999</v>
      </c>
      <c r="AO23">
        <v>146</v>
      </c>
      <c r="AP23">
        <v>145</v>
      </c>
      <c r="AQ23">
        <v>155</v>
      </c>
      <c r="AR23">
        <v>222</v>
      </c>
      <c r="AS23">
        <v>307</v>
      </c>
      <c r="AT23">
        <v>863</v>
      </c>
      <c r="AU23">
        <v>1390</v>
      </c>
      <c r="AV23">
        <v>2054</v>
      </c>
      <c r="AW23">
        <v>2106</v>
      </c>
      <c r="AX23">
        <v>1983</v>
      </c>
      <c r="AY23">
        <v>1940</v>
      </c>
      <c r="AZ23">
        <v>1529</v>
      </c>
    </row>
    <row r="24" spans="1:52">
      <c r="G24">
        <v>656</v>
      </c>
      <c r="H24">
        <v>685</v>
      </c>
      <c r="I24">
        <v>837</v>
      </c>
      <c r="J24">
        <v>2029</v>
      </c>
      <c r="K24">
        <v>1419</v>
      </c>
      <c r="L24">
        <v>847</v>
      </c>
      <c r="M24">
        <v>1080</v>
      </c>
      <c r="S24">
        <v>713</v>
      </c>
      <c r="T24">
        <v>1012</v>
      </c>
      <c r="U24">
        <v>1094</v>
      </c>
      <c r="V24">
        <v>1722</v>
      </c>
      <c r="W24">
        <v>1667</v>
      </c>
      <c r="X24">
        <v>2749</v>
      </c>
      <c r="Y24">
        <v>1388</v>
      </c>
      <c r="Z24">
        <v>1916</v>
      </c>
      <c r="AB24">
        <v>213.387</v>
      </c>
      <c r="AC24">
        <v>208.648</v>
      </c>
      <c r="AD24">
        <v>273.44200000000001</v>
      </c>
      <c r="AE24">
        <v>325.46199999999999</v>
      </c>
      <c r="AF24">
        <v>285.31200000000001</v>
      </c>
      <c r="AG24">
        <v>333.21800000000002</v>
      </c>
      <c r="AH24">
        <v>273.608</v>
      </c>
      <c r="AJ24">
        <v>1410.152</v>
      </c>
      <c r="AK24">
        <v>1299.566</v>
      </c>
      <c r="AS24">
        <v>480</v>
      </c>
      <c r="AU24">
        <v>1563</v>
      </c>
      <c r="AV24">
        <v>2035</v>
      </c>
      <c r="AW24">
        <v>1867</v>
      </c>
      <c r="AX24">
        <v>2258</v>
      </c>
      <c r="AZ24">
        <v>1489</v>
      </c>
    </row>
    <row r="25" spans="1:52">
      <c r="H25">
        <v>633</v>
      </c>
      <c r="I25">
        <v>804</v>
      </c>
      <c r="J25">
        <v>1958</v>
      </c>
      <c r="K25">
        <v>1307</v>
      </c>
      <c r="M25">
        <v>1034</v>
      </c>
      <c r="T25">
        <v>1335</v>
      </c>
      <c r="U25">
        <v>1400</v>
      </c>
      <c r="V25">
        <v>2406</v>
      </c>
      <c r="W25">
        <v>2143</v>
      </c>
      <c r="Y25">
        <v>1896</v>
      </c>
      <c r="AG25">
        <v>391.06599999999997</v>
      </c>
      <c r="AS25">
        <v>692</v>
      </c>
      <c r="AW25">
        <v>1559</v>
      </c>
      <c r="AX25">
        <v>2481</v>
      </c>
    </row>
    <row r="26" spans="1:52">
      <c r="H26">
        <v>1109</v>
      </c>
      <c r="I26">
        <v>1225</v>
      </c>
      <c r="J26">
        <v>1166</v>
      </c>
      <c r="K26">
        <v>1569</v>
      </c>
      <c r="U26">
        <v>1327</v>
      </c>
      <c r="V26">
        <v>1279</v>
      </c>
      <c r="W26">
        <v>2459</v>
      </c>
      <c r="AW26">
        <v>2137</v>
      </c>
    </row>
    <row r="27" spans="1:52">
      <c r="H27">
        <v>690</v>
      </c>
      <c r="I27">
        <v>1567</v>
      </c>
      <c r="J27">
        <v>1269</v>
      </c>
      <c r="V27">
        <v>2675</v>
      </c>
      <c r="W27">
        <v>2138</v>
      </c>
    </row>
    <row r="28" spans="1:52">
      <c r="H28">
        <v>1111</v>
      </c>
      <c r="I28">
        <v>1233</v>
      </c>
      <c r="J28">
        <v>1531</v>
      </c>
      <c r="V28">
        <v>1591</v>
      </c>
    </row>
    <row r="29" spans="1:52">
      <c r="H29">
        <v>796</v>
      </c>
      <c r="I29">
        <v>1281</v>
      </c>
      <c r="J29">
        <v>1882</v>
      </c>
    </row>
    <row r="30" spans="1:52">
      <c r="H30">
        <v>981</v>
      </c>
      <c r="J30">
        <v>1441</v>
      </c>
    </row>
    <row r="31" spans="1:52">
      <c r="J31">
        <v>1861</v>
      </c>
    </row>
    <row r="32" spans="1:52">
      <c r="J32">
        <v>1771</v>
      </c>
    </row>
    <row r="33" spans="1:52">
      <c r="J33">
        <v>1419</v>
      </c>
    </row>
    <row r="35" spans="1:52" s="5" customFormat="1">
      <c r="A35" s="5" t="s">
        <v>110</v>
      </c>
      <c r="B35" s="5">
        <f>AVERAGE(B21:B33)</f>
        <v>204</v>
      </c>
      <c r="C35" s="5">
        <f t="shared" ref="C35:AZ35" si="0">AVERAGE(C21:C33)</f>
        <v>227.33333333333334</v>
      </c>
      <c r="D35" s="5">
        <f t="shared" si="0"/>
        <v>273.33333333333331</v>
      </c>
      <c r="E35" s="5">
        <f t="shared" si="0"/>
        <v>347</v>
      </c>
      <c r="F35" s="5">
        <f t="shared" si="0"/>
        <v>499.66666666666669</v>
      </c>
      <c r="G35" s="5">
        <f t="shared" si="0"/>
        <v>638.25</v>
      </c>
      <c r="H35" s="5">
        <f t="shared" si="0"/>
        <v>831.7</v>
      </c>
      <c r="I35" s="5">
        <f t="shared" si="0"/>
        <v>1308.8888888888889</v>
      </c>
      <c r="J35" s="5">
        <f t="shared" si="0"/>
        <v>1630.6923076923076</v>
      </c>
      <c r="K35" s="5">
        <f t="shared" si="0"/>
        <v>1453.5</v>
      </c>
      <c r="L35" s="5">
        <f t="shared" si="0"/>
        <v>1104</v>
      </c>
      <c r="M35" s="5">
        <f t="shared" si="0"/>
        <v>973.6</v>
      </c>
      <c r="O35" s="5">
        <f t="shared" si="0"/>
        <v>141.33333333333334</v>
      </c>
      <c r="P35" s="5">
        <f t="shared" si="0"/>
        <v>154.66666666666666</v>
      </c>
      <c r="Q35" s="5">
        <f t="shared" si="0"/>
        <v>182.33333333333334</v>
      </c>
      <c r="R35" s="5">
        <f t="shared" si="0"/>
        <v>223.33333333333334</v>
      </c>
      <c r="S35" s="5">
        <f t="shared" si="0"/>
        <v>562.25</v>
      </c>
      <c r="T35" s="5">
        <f t="shared" si="0"/>
        <v>799.8</v>
      </c>
      <c r="U35" s="5">
        <f t="shared" si="0"/>
        <v>1227.5</v>
      </c>
      <c r="V35" s="5">
        <f t="shared" si="0"/>
        <v>1769.875</v>
      </c>
      <c r="W35" s="5">
        <f t="shared" si="0"/>
        <v>1862.4285714285713</v>
      </c>
      <c r="X35" s="5">
        <f t="shared" si="0"/>
        <v>2876.25</v>
      </c>
      <c r="Y35" s="5">
        <f t="shared" si="0"/>
        <v>1110.2</v>
      </c>
      <c r="Z35" s="5">
        <f t="shared" si="0"/>
        <v>1452.75</v>
      </c>
      <c r="AB35" s="5">
        <f t="shared" si="0"/>
        <v>222.30225000000002</v>
      </c>
      <c r="AC35" s="5">
        <f t="shared" si="0"/>
        <v>214.18424999999999</v>
      </c>
      <c r="AD35" s="5">
        <f t="shared" si="0"/>
        <v>279.89175</v>
      </c>
      <c r="AE35" s="5">
        <f t="shared" si="0"/>
        <v>257.8415</v>
      </c>
      <c r="AF35" s="5">
        <f t="shared" si="0"/>
        <v>336.27824999999996</v>
      </c>
      <c r="AG35" s="5">
        <f t="shared" si="0"/>
        <v>322.97300000000001</v>
      </c>
      <c r="AH35" s="5">
        <f t="shared" si="0"/>
        <v>389.74275</v>
      </c>
      <c r="AI35" s="5">
        <f t="shared" si="0"/>
        <v>1118.4929999999999</v>
      </c>
      <c r="AJ35" s="5">
        <f t="shared" si="0"/>
        <v>1731.201</v>
      </c>
      <c r="AK35" s="5">
        <f t="shared" si="0"/>
        <v>1478.3934999999999</v>
      </c>
      <c r="AL35" s="5">
        <f t="shared" si="0"/>
        <v>1936.1386666666667</v>
      </c>
      <c r="AM35" s="5">
        <f t="shared" si="0"/>
        <v>2741.8850000000002</v>
      </c>
      <c r="AO35" s="5">
        <f t="shared" si="0"/>
        <v>148.33333333333334</v>
      </c>
      <c r="AP35" s="5">
        <f t="shared" si="0"/>
        <v>160</v>
      </c>
      <c r="AQ35" s="5">
        <f t="shared" si="0"/>
        <v>151.33333333333334</v>
      </c>
      <c r="AR35" s="5">
        <f t="shared" si="0"/>
        <v>211.66666666666666</v>
      </c>
      <c r="AS35" s="5">
        <f t="shared" si="0"/>
        <v>566.4</v>
      </c>
      <c r="AT35" s="5">
        <f t="shared" si="0"/>
        <v>954.66666666666663</v>
      </c>
      <c r="AU35" s="5">
        <f t="shared" si="0"/>
        <v>1574.25</v>
      </c>
      <c r="AV35" s="5">
        <f t="shared" si="0"/>
        <v>1996.75</v>
      </c>
      <c r="AW35" s="5">
        <f t="shared" si="0"/>
        <v>2083</v>
      </c>
      <c r="AX35" s="5">
        <f t="shared" si="0"/>
        <v>2415.8000000000002</v>
      </c>
      <c r="AY35" s="5">
        <f t="shared" si="0"/>
        <v>2627.6666666666665</v>
      </c>
      <c r="AZ35" s="5">
        <f t="shared" si="0"/>
        <v>1705.5</v>
      </c>
    </row>
    <row r="38" spans="1:52">
      <c r="A38" t="s">
        <v>127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24</v>
      </c>
      <c r="P38" t="s">
        <v>25</v>
      </c>
      <c r="Q38" t="s">
        <v>26</v>
      </c>
      <c r="R38" t="s">
        <v>27</v>
      </c>
      <c r="S38" t="s">
        <v>28</v>
      </c>
      <c r="T38" t="s">
        <v>29</v>
      </c>
      <c r="U38" t="s">
        <v>30</v>
      </c>
      <c r="V38" t="s">
        <v>31</v>
      </c>
      <c r="W38" t="s">
        <v>32</v>
      </c>
      <c r="X38" t="s">
        <v>33</v>
      </c>
      <c r="Y38" t="s">
        <v>34</v>
      </c>
      <c r="Z38" t="s">
        <v>35</v>
      </c>
      <c r="AB38" t="s">
        <v>48</v>
      </c>
      <c r="AC38" t="s">
        <v>49</v>
      </c>
      <c r="AD38" t="s">
        <v>50</v>
      </c>
      <c r="AE38" t="s">
        <v>51</v>
      </c>
      <c r="AF38" t="s">
        <v>52</v>
      </c>
      <c r="AG38" t="s">
        <v>53</v>
      </c>
      <c r="AH38" t="s">
        <v>54</v>
      </c>
      <c r="AI38" t="s">
        <v>55</v>
      </c>
      <c r="AJ38" t="s">
        <v>56</v>
      </c>
      <c r="AK38" t="s">
        <v>57</v>
      </c>
      <c r="AL38" t="s">
        <v>58</v>
      </c>
      <c r="AM38" t="s">
        <v>59</v>
      </c>
      <c r="AO38" t="s">
        <v>36</v>
      </c>
      <c r="AP38" t="s">
        <v>37</v>
      </c>
      <c r="AQ38" t="s">
        <v>38</v>
      </c>
      <c r="AR38" t="s">
        <v>39</v>
      </c>
      <c r="AS38" t="s">
        <v>40</v>
      </c>
      <c r="AT38" t="s">
        <v>41</v>
      </c>
      <c r="AU38" t="s">
        <v>42</v>
      </c>
      <c r="AV38" t="s">
        <v>43</v>
      </c>
      <c r="AW38" t="s">
        <v>44</v>
      </c>
      <c r="AX38" t="s">
        <v>45</v>
      </c>
      <c r="AY38" t="s">
        <v>46</v>
      </c>
      <c r="AZ38" t="s">
        <v>47</v>
      </c>
    </row>
    <row r="39" spans="1:52">
      <c r="B39">
        <f>B2-204</f>
        <v>2141</v>
      </c>
      <c r="C39">
        <f>C2-227</f>
        <v>3622</v>
      </c>
      <c r="D39">
        <f>D2-273</f>
        <v>754</v>
      </c>
      <c r="E39">
        <f>E2-347</f>
        <v>898</v>
      </c>
      <c r="F39">
        <f>F2-500</f>
        <v>1448</v>
      </c>
      <c r="G39">
        <f>G2-638</f>
        <v>1058</v>
      </c>
      <c r="H39">
        <f>H2-832</f>
        <v>1702</v>
      </c>
      <c r="I39">
        <f>I2-1309</f>
        <v>2699</v>
      </c>
      <c r="J39">
        <f>J2-1631</f>
        <v>923</v>
      </c>
      <c r="K39">
        <f>K2-1454</f>
        <v>1092</v>
      </c>
      <c r="L39">
        <f>L2-1104</f>
        <v>128</v>
      </c>
      <c r="M39">
        <f>M2-974</f>
        <v>247</v>
      </c>
      <c r="O39">
        <f>O2-141</f>
        <v>1113</v>
      </c>
      <c r="P39">
        <f>P2-155</f>
        <v>2757</v>
      </c>
      <c r="Q39">
        <f>Q2-182</f>
        <v>786</v>
      </c>
      <c r="R39">
        <f>R2-233</f>
        <v>969</v>
      </c>
      <c r="S39">
        <f>S2-562</f>
        <v>1076</v>
      </c>
      <c r="T39">
        <f>T2-800</f>
        <v>954</v>
      </c>
      <c r="U39">
        <f>U2-1228</f>
        <v>1238</v>
      </c>
      <c r="V39">
        <f>V2-1670</f>
        <v>699</v>
      </c>
      <c r="W39">
        <f>W2-1862</f>
        <v>1074</v>
      </c>
      <c r="X39">
        <f>X2-2876</f>
        <v>-250</v>
      </c>
      <c r="Y39">
        <f>Y2-1110</f>
        <v>1089</v>
      </c>
      <c r="Z39">
        <f>Z2-1452</f>
        <v>-326</v>
      </c>
      <c r="AB39">
        <f>AB2-222</f>
        <v>1454.328</v>
      </c>
      <c r="AC39">
        <f>AC2-214</f>
        <v>3479.2849999999999</v>
      </c>
      <c r="AD39">
        <f>AD2-280</f>
        <v>1337.66</v>
      </c>
      <c r="AE39">
        <f>AE2-258</f>
        <v>1807.364</v>
      </c>
      <c r="AF39">
        <f>AF2-336</f>
        <v>2686.9520000000002</v>
      </c>
      <c r="AG39">
        <f>AG2-323</f>
        <v>5474.2370000000001</v>
      </c>
      <c r="AH39">
        <f>AH2-390</f>
        <v>6242.5929999999998</v>
      </c>
      <c r="AI39">
        <f>AI2-1118</f>
        <v>10243.691000000001</v>
      </c>
      <c r="AJ39">
        <f>AJ2-1731</f>
        <v>8383.7870000000003</v>
      </c>
      <c r="AK39">
        <f>AK2-1478</f>
        <v>7128.5619999999999</v>
      </c>
      <c r="AL39">
        <f>AL2-1936</f>
        <v>8625.0429999999997</v>
      </c>
      <c r="AM39">
        <f>AM2-2742</f>
        <v>6558.4830000000002</v>
      </c>
      <c r="AO39">
        <f>AO2-148</f>
        <v>1560</v>
      </c>
      <c r="AP39">
        <f>AP2-160</f>
        <v>3290</v>
      </c>
      <c r="AQ39">
        <f>AQ2-151</f>
        <v>985</v>
      </c>
      <c r="AR39">
        <f>AR2-212</f>
        <v>1356</v>
      </c>
      <c r="AS39">
        <f>AS2-655</f>
        <v>1149</v>
      </c>
      <c r="AT39">
        <f>AT2-955</f>
        <v>2815</v>
      </c>
      <c r="AU39">
        <f>AU2-1574</f>
        <v>1954</v>
      </c>
      <c r="AV39">
        <f>AV2-1997</f>
        <v>2764</v>
      </c>
      <c r="AW39">
        <f>AW2-2083</f>
        <v>3480</v>
      </c>
      <c r="AX39">
        <f>AX2-2416</f>
        <v>2987</v>
      </c>
      <c r="AY39">
        <f>AY2-2628</f>
        <v>2672</v>
      </c>
      <c r="AZ39">
        <f>AZ2-1706</f>
        <v>3789</v>
      </c>
    </row>
    <row r="40" spans="1:52">
      <c r="B40">
        <f t="shared" ref="B40:B44" si="1">B3-204</f>
        <v>1158</v>
      </c>
      <c r="C40">
        <f t="shared" ref="C40:C43" si="2">C3-227</f>
        <v>2761</v>
      </c>
      <c r="D40">
        <f t="shared" ref="D40:D44" si="3">D3-273</f>
        <v>667</v>
      </c>
      <c r="E40">
        <f t="shared" ref="E40:E46" si="4">E3-347</f>
        <v>1213</v>
      </c>
      <c r="F40">
        <f t="shared" ref="F40:F45" si="5">F3-500</f>
        <v>1380</v>
      </c>
      <c r="G40">
        <f t="shared" ref="G40:G47" si="6">G3-638</f>
        <v>797</v>
      </c>
      <c r="H40">
        <f t="shared" ref="H40:H46" si="7">H3-832</f>
        <v>588</v>
      </c>
      <c r="I40">
        <f t="shared" ref="I40:I52" si="8">I3-1309</f>
        <v>2613</v>
      </c>
      <c r="J40">
        <f t="shared" ref="J40:J49" si="9">J3-1631</f>
        <v>483</v>
      </c>
      <c r="K40">
        <f t="shared" ref="K40:K46" si="10">K3-1454</f>
        <v>1572</v>
      </c>
      <c r="L40">
        <f t="shared" ref="L40:L43" si="11">L3-1104</f>
        <v>205</v>
      </c>
      <c r="M40">
        <f t="shared" ref="M40:M45" si="12">M3-974</f>
        <v>-30</v>
      </c>
      <c r="O40">
        <f t="shared" ref="O40:O41" si="13">O3-141</f>
        <v>1494</v>
      </c>
      <c r="P40">
        <f t="shared" ref="P40:P41" si="14">P3-155</f>
        <v>3266</v>
      </c>
      <c r="Q40">
        <f t="shared" ref="Q40:Q42" si="15">Q3-182</f>
        <v>977</v>
      </c>
      <c r="R40">
        <f t="shared" ref="R40:R42" si="16">R3-233</f>
        <v>1291</v>
      </c>
      <c r="S40">
        <f t="shared" ref="S40:S41" si="17">S3-562</f>
        <v>727</v>
      </c>
      <c r="T40">
        <f t="shared" ref="T40:T42" si="18">T3-800</f>
        <v>1984</v>
      </c>
      <c r="U40">
        <f t="shared" ref="U40:U41" si="19">U3-1228</f>
        <v>1749</v>
      </c>
      <c r="V40">
        <f t="shared" ref="V40:V44" si="20">V3-1670</f>
        <v>1235</v>
      </c>
      <c r="W40">
        <f t="shared" ref="W40:W42" si="21">W3-1862</f>
        <v>1260</v>
      </c>
      <c r="X40">
        <f t="shared" ref="X40:X41" si="22">X3-2876</f>
        <v>170</v>
      </c>
      <c r="Y40">
        <f t="shared" ref="Y40:Y45" si="23">Y3-1110</f>
        <v>202</v>
      </c>
      <c r="Z40">
        <f t="shared" ref="Z40:Z41" si="24">Z3-1452</f>
        <v>-73</v>
      </c>
      <c r="AB40">
        <f t="shared" ref="AB40:AB44" si="25">AB3-222</f>
        <v>1550.307</v>
      </c>
      <c r="AC40">
        <f t="shared" ref="AC40:AC43" si="26">AC3-214</f>
        <v>3235.0940000000001</v>
      </c>
      <c r="AD40">
        <f t="shared" ref="AD40:AD44" si="27">AD3-280</f>
        <v>1930.0390000000002</v>
      </c>
      <c r="AE40">
        <f t="shared" ref="AE40:AE43" si="28">AE3-258</f>
        <v>2313.9479999999999</v>
      </c>
      <c r="AF40">
        <f t="shared" ref="AF40:AF44" si="29">AF3-336</f>
        <v>3100.5390000000002</v>
      </c>
      <c r="AG40">
        <f t="shared" ref="AG40:AG44" si="30">AG3-323</f>
        <v>4768.6279999999997</v>
      </c>
      <c r="AH40">
        <f t="shared" ref="AH40:AH44" si="31">AH3-390</f>
        <v>5049.1970000000001</v>
      </c>
      <c r="AI40">
        <f t="shared" ref="AI40:AI42" si="32">AI3-1118</f>
        <v>6655.2420000000002</v>
      </c>
      <c r="AJ40">
        <f t="shared" ref="AJ40:AJ44" si="33">AJ3-1731</f>
        <v>6667.5149999999994</v>
      </c>
      <c r="AK40">
        <f t="shared" ref="AK40:AK44" si="34">AK3-1478</f>
        <v>7034.9740000000002</v>
      </c>
      <c r="AL40">
        <f t="shared" ref="AL40:AL42" si="35">AL3-1936</f>
        <v>7556.8979999999992</v>
      </c>
      <c r="AM40">
        <f t="shared" ref="AM40:AM43" si="36">AM3-2742</f>
        <v>6869.9290000000001</v>
      </c>
      <c r="AO40">
        <f t="shared" ref="AO40:AO42" si="37">AO3-148</f>
        <v>1551</v>
      </c>
      <c r="AP40">
        <f t="shared" ref="AP40:AP44" si="38">AP3-160</f>
        <v>3227</v>
      </c>
      <c r="AQ40">
        <f t="shared" ref="AQ40:AQ43" si="39">AQ3-151</f>
        <v>986</v>
      </c>
      <c r="AR40">
        <f t="shared" ref="AR40:AR42" si="40">AR3-212</f>
        <v>1475</v>
      </c>
      <c r="AS40">
        <f t="shared" ref="AS40:AS46" si="41">AS3-655</f>
        <v>1480</v>
      </c>
      <c r="AT40">
        <f t="shared" ref="AT40:AT45" si="42">AT3-955</f>
        <v>1161</v>
      </c>
      <c r="AU40">
        <f t="shared" ref="AU40:AU44" si="43">AU3-1574</f>
        <v>3590</v>
      </c>
      <c r="AV40">
        <f t="shared" ref="AV40:AV44" si="44">AV3-1997</f>
        <v>5256</v>
      </c>
      <c r="AW40">
        <f t="shared" ref="AW40:AW47" si="45">AW3-2083</f>
        <v>3815</v>
      </c>
      <c r="AX40">
        <f t="shared" ref="AX40:AX44" si="46">AX3-2416</f>
        <v>3564</v>
      </c>
      <c r="AY40">
        <f t="shared" ref="AY40:AY42" si="47">AY3-2628</f>
        <v>4941</v>
      </c>
      <c r="AZ40">
        <f t="shared" ref="AZ40:AZ43" si="48">AZ3-1706</f>
        <v>5111</v>
      </c>
    </row>
    <row r="41" spans="1:52">
      <c r="B41">
        <f t="shared" si="1"/>
        <v>1299</v>
      </c>
      <c r="C41">
        <f t="shared" si="2"/>
        <v>2821</v>
      </c>
      <c r="D41">
        <f t="shared" si="3"/>
        <v>516</v>
      </c>
      <c r="E41">
        <f t="shared" si="4"/>
        <v>1013</v>
      </c>
      <c r="F41">
        <f t="shared" si="5"/>
        <v>557</v>
      </c>
      <c r="G41">
        <f t="shared" si="6"/>
        <v>809</v>
      </c>
      <c r="H41">
        <f t="shared" si="7"/>
        <v>1327</v>
      </c>
      <c r="I41">
        <f t="shared" si="8"/>
        <v>2544</v>
      </c>
      <c r="J41">
        <f t="shared" si="9"/>
        <v>785</v>
      </c>
      <c r="K41">
        <f t="shared" si="10"/>
        <v>788</v>
      </c>
      <c r="L41">
        <f t="shared" si="11"/>
        <v>13</v>
      </c>
      <c r="M41">
        <f t="shared" si="12"/>
        <v>-241</v>
      </c>
      <c r="O41">
        <f t="shared" si="13"/>
        <v>1614</v>
      </c>
      <c r="P41">
        <f t="shared" si="14"/>
        <v>2861</v>
      </c>
      <c r="Q41">
        <f t="shared" si="15"/>
        <v>1032</v>
      </c>
      <c r="R41">
        <f t="shared" si="16"/>
        <v>1018</v>
      </c>
      <c r="S41">
        <f t="shared" si="17"/>
        <v>1270</v>
      </c>
      <c r="T41">
        <f t="shared" si="18"/>
        <v>1400</v>
      </c>
      <c r="U41">
        <f t="shared" si="19"/>
        <v>1837</v>
      </c>
      <c r="V41">
        <f t="shared" si="20"/>
        <v>2600</v>
      </c>
      <c r="W41">
        <f t="shared" si="21"/>
        <v>533</v>
      </c>
      <c r="X41">
        <f t="shared" si="22"/>
        <v>-822</v>
      </c>
      <c r="Y41">
        <f t="shared" si="23"/>
        <v>227</v>
      </c>
      <c r="Z41">
        <f t="shared" si="24"/>
        <v>103</v>
      </c>
      <c r="AB41">
        <f t="shared" si="25"/>
        <v>1387.91</v>
      </c>
      <c r="AC41">
        <f t="shared" si="26"/>
        <v>2487.3850000000002</v>
      </c>
      <c r="AD41">
        <f t="shared" si="27"/>
        <v>1257.578</v>
      </c>
      <c r="AE41">
        <f t="shared" si="28"/>
        <v>2560.4769999999999</v>
      </c>
      <c r="AF41">
        <f t="shared" si="29"/>
        <v>2685.4940000000001</v>
      </c>
      <c r="AG41">
        <f t="shared" si="30"/>
        <v>4828.0550000000003</v>
      </c>
      <c r="AH41">
        <f t="shared" si="31"/>
        <v>6614.2190000000001</v>
      </c>
      <c r="AI41">
        <f t="shared" si="32"/>
        <v>6817.8980000000001</v>
      </c>
      <c r="AJ41">
        <f t="shared" si="33"/>
        <v>9453.4410000000007</v>
      </c>
      <c r="AK41">
        <f t="shared" si="34"/>
        <v>8071.2129999999997</v>
      </c>
      <c r="AL41">
        <f t="shared" si="35"/>
        <v>10570.684999999999</v>
      </c>
      <c r="AM41">
        <f t="shared" si="36"/>
        <v>5837.0939999999991</v>
      </c>
      <c r="AO41">
        <f t="shared" si="37"/>
        <v>1199</v>
      </c>
      <c r="AP41">
        <f t="shared" si="38"/>
        <v>3817</v>
      </c>
      <c r="AQ41">
        <f t="shared" si="39"/>
        <v>1041</v>
      </c>
      <c r="AR41">
        <f t="shared" si="40"/>
        <v>1136</v>
      </c>
      <c r="AS41">
        <f t="shared" si="41"/>
        <v>768</v>
      </c>
      <c r="AT41">
        <f t="shared" si="42"/>
        <v>1693</v>
      </c>
      <c r="AU41">
        <f t="shared" si="43"/>
        <v>1677</v>
      </c>
      <c r="AV41">
        <f t="shared" si="44"/>
        <v>2606</v>
      </c>
      <c r="AW41">
        <f t="shared" si="45"/>
        <v>3554</v>
      </c>
      <c r="AX41">
        <f t="shared" si="46"/>
        <v>2925</v>
      </c>
      <c r="AY41">
        <f t="shared" si="47"/>
        <v>3150</v>
      </c>
      <c r="AZ41">
        <f t="shared" si="48"/>
        <v>6099</v>
      </c>
    </row>
    <row r="42" spans="1:52">
      <c r="B42">
        <f t="shared" si="1"/>
        <v>1784</v>
      </c>
      <c r="C42">
        <f t="shared" si="2"/>
        <v>2852</v>
      </c>
      <c r="D42">
        <f t="shared" si="3"/>
        <v>836</v>
      </c>
      <c r="E42">
        <f t="shared" si="4"/>
        <v>791</v>
      </c>
      <c r="F42">
        <f t="shared" si="5"/>
        <v>929</v>
      </c>
      <c r="G42">
        <f t="shared" si="6"/>
        <v>1289</v>
      </c>
      <c r="H42">
        <f t="shared" si="7"/>
        <v>1920</v>
      </c>
      <c r="I42">
        <f t="shared" si="8"/>
        <v>1980</v>
      </c>
      <c r="J42">
        <f t="shared" si="9"/>
        <v>2063</v>
      </c>
      <c r="K42">
        <f t="shared" si="10"/>
        <v>340</v>
      </c>
      <c r="L42">
        <f t="shared" si="11"/>
        <v>-2</v>
      </c>
      <c r="M42">
        <f t="shared" si="12"/>
        <v>56</v>
      </c>
      <c r="Q42">
        <f t="shared" si="15"/>
        <v>950</v>
      </c>
      <c r="R42">
        <f t="shared" si="16"/>
        <v>636</v>
      </c>
      <c r="T42">
        <f t="shared" si="18"/>
        <v>1330</v>
      </c>
      <c r="V42">
        <f t="shared" si="20"/>
        <v>986</v>
      </c>
      <c r="W42">
        <f t="shared" si="21"/>
        <v>388</v>
      </c>
      <c r="Y42">
        <f t="shared" si="23"/>
        <v>404</v>
      </c>
      <c r="AB42">
        <f t="shared" si="25"/>
        <v>1536.3610000000001</v>
      </c>
      <c r="AC42">
        <f t="shared" si="26"/>
        <v>3257.4459999999999</v>
      </c>
      <c r="AD42">
        <f t="shared" si="27"/>
        <v>1351.02</v>
      </c>
      <c r="AE42">
        <f t="shared" si="28"/>
        <v>1567.357</v>
      </c>
      <c r="AF42">
        <f t="shared" si="29"/>
        <v>2551.6979999999999</v>
      </c>
      <c r="AG42">
        <f t="shared" si="30"/>
        <v>4901.8940000000002</v>
      </c>
      <c r="AH42">
        <f t="shared" si="31"/>
        <v>6304.4139999999998</v>
      </c>
      <c r="AI42">
        <f t="shared" si="32"/>
        <v>6461.8050000000003</v>
      </c>
      <c r="AJ42">
        <f t="shared" si="33"/>
        <v>7710.8600000000006</v>
      </c>
      <c r="AK42">
        <f t="shared" si="34"/>
        <v>7391.7090000000007</v>
      </c>
      <c r="AL42">
        <f t="shared" si="35"/>
        <v>7212.9930000000004</v>
      </c>
      <c r="AM42">
        <f t="shared" si="36"/>
        <v>6841.2610000000004</v>
      </c>
      <c r="AO42">
        <f t="shared" si="37"/>
        <v>1792</v>
      </c>
      <c r="AP42">
        <f t="shared" si="38"/>
        <v>3661</v>
      </c>
      <c r="AQ42">
        <f t="shared" si="39"/>
        <v>1078</v>
      </c>
      <c r="AR42">
        <f t="shared" si="40"/>
        <v>1178</v>
      </c>
      <c r="AS42">
        <f t="shared" si="41"/>
        <v>1112</v>
      </c>
      <c r="AT42">
        <f t="shared" si="42"/>
        <v>1710</v>
      </c>
      <c r="AU42">
        <f t="shared" si="43"/>
        <v>2041</v>
      </c>
      <c r="AV42">
        <f t="shared" si="44"/>
        <v>2948</v>
      </c>
      <c r="AW42">
        <f t="shared" si="45"/>
        <v>4883</v>
      </c>
      <c r="AX42">
        <f t="shared" si="46"/>
        <v>2297</v>
      </c>
      <c r="AY42">
        <f t="shared" si="47"/>
        <v>5455</v>
      </c>
      <c r="AZ42">
        <f t="shared" si="48"/>
        <v>2477</v>
      </c>
    </row>
    <row r="43" spans="1:52">
      <c r="B43">
        <f t="shared" si="1"/>
        <v>1191</v>
      </c>
      <c r="C43">
        <f t="shared" si="2"/>
        <v>3492</v>
      </c>
      <c r="D43">
        <f t="shared" si="3"/>
        <v>844</v>
      </c>
      <c r="E43">
        <f t="shared" si="4"/>
        <v>881</v>
      </c>
      <c r="F43">
        <f t="shared" si="5"/>
        <v>1208</v>
      </c>
      <c r="G43">
        <f t="shared" si="6"/>
        <v>1449</v>
      </c>
      <c r="H43">
        <f t="shared" si="7"/>
        <v>1175</v>
      </c>
      <c r="I43">
        <f t="shared" si="8"/>
        <v>955</v>
      </c>
      <c r="J43">
        <f t="shared" si="9"/>
        <v>345</v>
      </c>
      <c r="K43">
        <f t="shared" si="10"/>
        <v>937</v>
      </c>
      <c r="L43">
        <f t="shared" si="11"/>
        <v>40</v>
      </c>
      <c r="M43">
        <f t="shared" si="12"/>
        <v>446</v>
      </c>
      <c r="V43">
        <f t="shared" si="20"/>
        <v>833</v>
      </c>
      <c r="Y43">
        <f t="shared" si="23"/>
        <v>970</v>
      </c>
      <c r="AB43">
        <f t="shared" si="25"/>
        <v>1340.463</v>
      </c>
      <c r="AC43">
        <f t="shared" si="26"/>
        <v>3153.26</v>
      </c>
      <c r="AD43">
        <f t="shared" si="27"/>
        <v>1801.2849999999999</v>
      </c>
      <c r="AE43">
        <f t="shared" si="28"/>
        <v>1658.75</v>
      </c>
      <c r="AF43">
        <f t="shared" si="29"/>
        <v>3998.0039999999999</v>
      </c>
      <c r="AG43">
        <f t="shared" si="30"/>
        <v>4789.085</v>
      </c>
      <c r="AH43">
        <f t="shared" si="31"/>
        <v>6009.4989999999998</v>
      </c>
      <c r="AJ43">
        <f t="shared" si="33"/>
        <v>8396.1200000000008</v>
      </c>
      <c r="AK43">
        <f t="shared" si="34"/>
        <v>11738.647000000001</v>
      </c>
      <c r="AM43">
        <f t="shared" si="36"/>
        <v>6472.6280000000006</v>
      </c>
      <c r="AP43">
        <f t="shared" si="38"/>
        <v>2518</v>
      </c>
      <c r="AQ43">
        <f t="shared" si="39"/>
        <v>1043</v>
      </c>
      <c r="AS43">
        <f t="shared" si="41"/>
        <v>1280</v>
      </c>
      <c r="AT43">
        <f t="shared" si="42"/>
        <v>1769</v>
      </c>
      <c r="AU43">
        <f t="shared" si="43"/>
        <v>3777</v>
      </c>
      <c r="AV43">
        <f t="shared" si="44"/>
        <v>6054</v>
      </c>
      <c r="AW43">
        <f t="shared" si="45"/>
        <v>4928</v>
      </c>
      <c r="AX43">
        <f t="shared" si="46"/>
        <v>3684</v>
      </c>
      <c r="AZ43">
        <f t="shared" si="48"/>
        <v>4561</v>
      </c>
    </row>
    <row r="44" spans="1:52">
      <c r="B44">
        <f t="shared" si="1"/>
        <v>1391</v>
      </c>
      <c r="D44">
        <f t="shared" si="3"/>
        <v>860</v>
      </c>
      <c r="E44">
        <f t="shared" si="4"/>
        <v>536</v>
      </c>
      <c r="F44">
        <f t="shared" si="5"/>
        <v>1340</v>
      </c>
      <c r="G44">
        <f t="shared" si="6"/>
        <v>1144</v>
      </c>
      <c r="H44">
        <f t="shared" si="7"/>
        <v>2548</v>
      </c>
      <c r="I44">
        <f t="shared" si="8"/>
        <v>2589</v>
      </c>
      <c r="J44">
        <f t="shared" si="9"/>
        <v>535</v>
      </c>
      <c r="K44">
        <f t="shared" si="10"/>
        <v>442</v>
      </c>
      <c r="M44">
        <f>M7-974</f>
        <v>-114</v>
      </c>
      <c r="V44">
        <f t="shared" si="20"/>
        <v>824</v>
      </c>
      <c r="Y44">
        <f t="shared" si="23"/>
        <v>199</v>
      </c>
      <c r="AB44">
        <f t="shared" si="25"/>
        <v>2075.1819999999998</v>
      </c>
      <c r="AD44">
        <f t="shared" si="27"/>
        <v>1100.309</v>
      </c>
      <c r="AF44">
        <f t="shared" si="29"/>
        <v>2925.8829999999998</v>
      </c>
      <c r="AG44">
        <f t="shared" si="30"/>
        <v>4743.1949999999997</v>
      </c>
      <c r="AH44">
        <f t="shared" si="31"/>
        <v>5598.0039999999999</v>
      </c>
      <c r="AJ44">
        <f t="shared" si="33"/>
        <v>8053.7430000000004</v>
      </c>
      <c r="AK44">
        <f t="shared" si="34"/>
        <v>8270.7330000000002</v>
      </c>
      <c r="AP44">
        <f t="shared" si="38"/>
        <v>3041</v>
      </c>
      <c r="AS44">
        <f t="shared" si="41"/>
        <v>1575</v>
      </c>
      <c r="AT44">
        <f t="shared" si="42"/>
        <v>1410</v>
      </c>
      <c r="AU44">
        <f t="shared" si="43"/>
        <v>4133</v>
      </c>
      <c r="AV44">
        <f t="shared" si="44"/>
        <v>4854</v>
      </c>
      <c r="AW44">
        <f t="shared" si="45"/>
        <v>5491</v>
      </c>
      <c r="AX44">
        <f t="shared" si="46"/>
        <v>4490</v>
      </c>
    </row>
    <row r="45" spans="1:52">
      <c r="E45">
        <f t="shared" si="4"/>
        <v>874</v>
      </c>
      <c r="F45">
        <f t="shared" si="5"/>
        <v>1030</v>
      </c>
      <c r="G45">
        <f t="shared" si="6"/>
        <v>1372</v>
      </c>
      <c r="H45">
        <f t="shared" si="7"/>
        <v>2490</v>
      </c>
      <c r="I45">
        <f t="shared" si="8"/>
        <v>2687</v>
      </c>
      <c r="J45">
        <f t="shared" si="9"/>
        <v>1119</v>
      </c>
      <c r="K45">
        <f t="shared" si="10"/>
        <v>936</v>
      </c>
      <c r="M45">
        <f t="shared" si="12"/>
        <v>-114</v>
      </c>
      <c r="Y45">
        <f t="shared" si="23"/>
        <v>217</v>
      </c>
      <c r="AS45">
        <f t="shared" si="41"/>
        <v>1328</v>
      </c>
      <c r="AT45">
        <f t="shared" si="42"/>
        <v>1708</v>
      </c>
      <c r="AW45">
        <f t="shared" si="45"/>
        <v>4367</v>
      </c>
    </row>
    <row r="46" spans="1:52">
      <c r="E46">
        <f t="shared" si="4"/>
        <v>729</v>
      </c>
      <c r="G46">
        <f t="shared" si="6"/>
        <v>1077</v>
      </c>
      <c r="H46">
        <f t="shared" si="7"/>
        <v>1225</v>
      </c>
      <c r="I46">
        <f t="shared" si="8"/>
        <v>1041</v>
      </c>
      <c r="J46">
        <f t="shared" si="9"/>
        <v>1877</v>
      </c>
      <c r="K46">
        <f t="shared" si="10"/>
        <v>782</v>
      </c>
      <c r="AS46">
        <f t="shared" si="41"/>
        <v>1144</v>
      </c>
      <c r="AW46">
        <f t="shared" si="45"/>
        <v>6061</v>
      </c>
    </row>
    <row r="47" spans="1:52">
      <c r="G47">
        <f t="shared" si="6"/>
        <v>1393</v>
      </c>
      <c r="I47">
        <f t="shared" si="8"/>
        <v>1675</v>
      </c>
      <c r="J47">
        <f t="shared" si="9"/>
        <v>99</v>
      </c>
      <c r="AW47">
        <f t="shared" si="45"/>
        <v>5423</v>
      </c>
    </row>
    <row r="48" spans="1:52">
      <c r="I48">
        <f t="shared" si="8"/>
        <v>2089</v>
      </c>
      <c r="J48">
        <f t="shared" si="9"/>
        <v>1222</v>
      </c>
    </row>
    <row r="49" spans="1:52">
      <c r="I49">
        <f t="shared" si="8"/>
        <v>1821</v>
      </c>
      <c r="J49">
        <f t="shared" si="9"/>
        <v>475</v>
      </c>
    </row>
    <row r="50" spans="1:52">
      <c r="I50">
        <f t="shared" si="8"/>
        <v>1292</v>
      </c>
    </row>
    <row r="51" spans="1:52">
      <c r="I51">
        <f t="shared" si="8"/>
        <v>996</v>
      </c>
    </row>
    <row r="52" spans="1:52">
      <c r="I52">
        <f t="shared" si="8"/>
        <v>2249</v>
      </c>
    </row>
    <row r="54" spans="1:52">
      <c r="A54" t="s">
        <v>12</v>
      </c>
      <c r="B54">
        <f>AVERAGE(B39:B52)</f>
        <v>1494</v>
      </c>
      <c r="C54">
        <f t="shared" ref="C54:AZ54" si="49">AVERAGE(C39:C52)</f>
        <v>3109.6</v>
      </c>
      <c r="D54">
        <f t="shared" si="49"/>
        <v>746.16666666666663</v>
      </c>
      <c r="E54">
        <f t="shared" si="49"/>
        <v>866.875</v>
      </c>
      <c r="F54">
        <f t="shared" si="49"/>
        <v>1127.4285714285713</v>
      </c>
      <c r="G54">
        <f t="shared" si="49"/>
        <v>1154.2222222222222</v>
      </c>
      <c r="H54">
        <f t="shared" si="49"/>
        <v>1621.875</v>
      </c>
      <c r="I54">
        <f t="shared" si="49"/>
        <v>1945</v>
      </c>
      <c r="J54">
        <f t="shared" si="49"/>
        <v>902.36363636363637</v>
      </c>
      <c r="K54">
        <f t="shared" si="49"/>
        <v>861.125</v>
      </c>
      <c r="L54">
        <f t="shared" si="49"/>
        <v>76.8</v>
      </c>
      <c r="M54">
        <f t="shared" si="49"/>
        <v>35.714285714285715</v>
      </c>
      <c r="O54">
        <f t="shared" si="49"/>
        <v>1407</v>
      </c>
      <c r="P54">
        <f t="shared" si="49"/>
        <v>2961.3333333333335</v>
      </c>
      <c r="Q54">
        <f t="shared" si="49"/>
        <v>936.25</v>
      </c>
      <c r="R54">
        <f t="shared" si="49"/>
        <v>978.5</v>
      </c>
      <c r="S54">
        <f t="shared" si="49"/>
        <v>1024.3333333333333</v>
      </c>
      <c r="T54">
        <f t="shared" si="49"/>
        <v>1417</v>
      </c>
      <c r="U54">
        <f t="shared" si="49"/>
        <v>1608</v>
      </c>
      <c r="V54">
        <f t="shared" si="49"/>
        <v>1196.1666666666667</v>
      </c>
      <c r="W54">
        <f t="shared" si="49"/>
        <v>813.75</v>
      </c>
      <c r="X54">
        <f t="shared" si="49"/>
        <v>-300.66666666666669</v>
      </c>
      <c r="Y54">
        <f t="shared" si="49"/>
        <v>472.57142857142856</v>
      </c>
      <c r="Z54">
        <f t="shared" si="49"/>
        <v>-98.666666666666671</v>
      </c>
      <c r="AB54">
        <f t="shared" si="49"/>
        <v>1557.4251666666667</v>
      </c>
      <c r="AC54">
        <f t="shared" si="49"/>
        <v>3122.4939999999997</v>
      </c>
      <c r="AD54">
        <f t="shared" si="49"/>
        <v>1462.9818333333333</v>
      </c>
      <c r="AE54">
        <f t="shared" si="49"/>
        <v>1981.5792000000001</v>
      </c>
      <c r="AF54">
        <f t="shared" si="49"/>
        <v>2991.4283333333333</v>
      </c>
      <c r="AG54">
        <f t="shared" si="49"/>
        <v>4917.5156666666662</v>
      </c>
      <c r="AH54">
        <f t="shared" si="49"/>
        <v>5969.6543333333329</v>
      </c>
      <c r="AI54">
        <f t="shared" si="49"/>
        <v>7544.6590000000006</v>
      </c>
      <c r="AJ54">
        <f t="shared" si="49"/>
        <v>8110.911000000001</v>
      </c>
      <c r="AK54">
        <f t="shared" si="49"/>
        <v>8272.639666666666</v>
      </c>
      <c r="AL54">
        <f t="shared" si="49"/>
        <v>8491.4047499999997</v>
      </c>
      <c r="AM54">
        <f t="shared" si="49"/>
        <v>6515.8789999999999</v>
      </c>
      <c r="AO54">
        <f t="shared" si="49"/>
        <v>1525.5</v>
      </c>
      <c r="AP54">
        <f t="shared" si="49"/>
        <v>3259</v>
      </c>
      <c r="AQ54">
        <f t="shared" si="49"/>
        <v>1026.5999999999999</v>
      </c>
      <c r="AR54">
        <f t="shared" si="49"/>
        <v>1286.25</v>
      </c>
      <c r="AS54">
        <f t="shared" si="49"/>
        <v>1229.5</v>
      </c>
      <c r="AT54">
        <f t="shared" si="49"/>
        <v>1752.2857142857142</v>
      </c>
      <c r="AU54">
        <f t="shared" si="49"/>
        <v>2862</v>
      </c>
      <c r="AV54">
        <f t="shared" si="49"/>
        <v>4080.3333333333335</v>
      </c>
      <c r="AW54">
        <f t="shared" si="49"/>
        <v>4666.8888888888887</v>
      </c>
      <c r="AX54">
        <f t="shared" si="49"/>
        <v>3324.5</v>
      </c>
      <c r="AY54">
        <f t="shared" si="49"/>
        <v>4054.5</v>
      </c>
      <c r="AZ54">
        <f t="shared" si="49"/>
        <v>4407.3999999999996</v>
      </c>
    </row>
    <row r="55" spans="1:52">
      <c r="A55" t="s">
        <v>13</v>
      </c>
      <c r="B55">
        <f>STDEV(B39:B52)</f>
        <v>388.85678597653407</v>
      </c>
      <c r="C55">
        <f t="shared" ref="C55:AZ55" si="50">STDEV(C39:C52)</f>
        <v>412.29637398357113</v>
      </c>
      <c r="D55">
        <f t="shared" si="50"/>
        <v>134.09312684349894</v>
      </c>
      <c r="E55">
        <f t="shared" si="50"/>
        <v>198.78878776947442</v>
      </c>
      <c r="F55">
        <f t="shared" si="50"/>
        <v>314.24292998828008</v>
      </c>
      <c r="G55">
        <f t="shared" si="50"/>
        <v>242.79970025608452</v>
      </c>
      <c r="H55">
        <f t="shared" si="50"/>
        <v>678.20170566832735</v>
      </c>
      <c r="I55">
        <f t="shared" si="50"/>
        <v>660.17596721806501</v>
      </c>
      <c r="J55">
        <f t="shared" si="50"/>
        <v>625.28397912105061</v>
      </c>
      <c r="K55">
        <f t="shared" si="50"/>
        <v>383.37875248524517</v>
      </c>
      <c r="L55">
        <f t="shared" si="50"/>
        <v>87.593949562740917</v>
      </c>
      <c r="M55">
        <f t="shared" si="50"/>
        <v>237.73424538457101</v>
      </c>
      <c r="O55">
        <f t="shared" si="50"/>
        <v>261.58555005963154</v>
      </c>
      <c r="P55">
        <f t="shared" si="50"/>
        <v>268.92440077712052</v>
      </c>
      <c r="Q55">
        <f t="shared" si="50"/>
        <v>105.81863414981945</v>
      </c>
      <c r="R55">
        <f t="shared" si="50"/>
        <v>268.70864022828391</v>
      </c>
      <c r="S55">
        <f t="shared" si="50"/>
        <v>275.16237630412564</v>
      </c>
      <c r="T55">
        <f t="shared" si="50"/>
        <v>425.72134861510841</v>
      </c>
      <c r="U55">
        <f t="shared" si="50"/>
        <v>323.43623792024295</v>
      </c>
      <c r="V55">
        <f t="shared" si="50"/>
        <v>711.89870534133354</v>
      </c>
      <c r="W55">
        <f t="shared" si="50"/>
        <v>419.10728538963224</v>
      </c>
      <c r="X55">
        <f t="shared" si="50"/>
        <v>497.93707768485501</v>
      </c>
      <c r="Y55">
        <f t="shared" si="50"/>
        <v>388.54294363380097</v>
      </c>
      <c r="Z55">
        <f t="shared" si="50"/>
        <v>215.64863397047833</v>
      </c>
      <c r="AB55">
        <f t="shared" si="50"/>
        <v>266.45956734440335</v>
      </c>
      <c r="AC55">
        <f t="shared" si="50"/>
        <v>375.0002028739475</v>
      </c>
      <c r="AD55">
        <f t="shared" si="50"/>
        <v>326.97240321801894</v>
      </c>
      <c r="AE55">
        <f t="shared" si="50"/>
        <v>433.51509238860314</v>
      </c>
      <c r="AF55">
        <f t="shared" si="50"/>
        <v>530.85974060072249</v>
      </c>
      <c r="AG55">
        <f t="shared" si="50"/>
        <v>278.29321177180498</v>
      </c>
      <c r="AH55">
        <f t="shared" si="50"/>
        <v>563.73334652463711</v>
      </c>
      <c r="AI55">
        <f t="shared" si="50"/>
        <v>1805.2322725298661</v>
      </c>
      <c r="AJ55">
        <f t="shared" si="50"/>
        <v>917.04888436745523</v>
      </c>
      <c r="AK55">
        <f t="shared" si="50"/>
        <v>1770.341889095293</v>
      </c>
      <c r="AL55">
        <f t="shared" si="50"/>
        <v>1510.9494816435531</v>
      </c>
      <c r="AM55">
        <f t="shared" si="50"/>
        <v>417.03107631985938</v>
      </c>
      <c r="AO55">
        <f t="shared" si="50"/>
        <v>244.58468199514593</v>
      </c>
      <c r="AP55">
        <f t="shared" si="50"/>
        <v>462.93800880895492</v>
      </c>
      <c r="AQ55">
        <f t="shared" si="50"/>
        <v>40.302605374838983</v>
      </c>
      <c r="AR55">
        <f t="shared" si="50"/>
        <v>157.88682655623933</v>
      </c>
      <c r="AS55">
        <f t="shared" si="50"/>
        <v>249.27093693409185</v>
      </c>
      <c r="AT55">
        <f t="shared" si="50"/>
        <v>516.9918485126932</v>
      </c>
      <c r="AU55">
        <f t="shared" si="50"/>
        <v>1084.9313342327246</v>
      </c>
      <c r="AV55">
        <f t="shared" si="50"/>
        <v>1487.5942547168786</v>
      </c>
      <c r="AW55">
        <f t="shared" si="50"/>
        <v>920.06568304176631</v>
      </c>
      <c r="AX55">
        <f t="shared" si="50"/>
        <v>758.18909250924992</v>
      </c>
      <c r="AY55">
        <f t="shared" si="50"/>
        <v>1351.1364352524383</v>
      </c>
      <c r="AZ55">
        <f t="shared" si="50"/>
        <v>1368.303621277091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0"/>
  <sheetViews>
    <sheetView topLeftCell="AT28" zoomScale="75" zoomScaleNormal="75" zoomScalePageLayoutView="75" workbookViewId="0">
      <selection activeCell="BB70" sqref="BB70"/>
    </sheetView>
  </sheetViews>
  <sheetFormatPr baseColWidth="10" defaultRowHeight="15" x14ac:dyDescent="0"/>
  <cols>
    <col min="1" max="1" width="31.83203125" customWidth="1"/>
  </cols>
  <sheetData>
    <row r="1" spans="1:65">
      <c r="A1" t="s">
        <v>130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B1" t="s">
        <v>61</v>
      </c>
      <c r="AC1" t="s">
        <v>62</v>
      </c>
      <c r="AD1" t="s">
        <v>63</v>
      </c>
      <c r="AE1" t="s">
        <v>64</v>
      </c>
      <c r="AF1" t="s">
        <v>65</v>
      </c>
      <c r="AG1" t="s">
        <v>66</v>
      </c>
      <c r="AH1" t="s">
        <v>67</v>
      </c>
      <c r="AI1" t="s">
        <v>68</v>
      </c>
      <c r="AJ1" t="s">
        <v>69</v>
      </c>
      <c r="AK1" t="s">
        <v>70</v>
      </c>
      <c r="AL1" t="s">
        <v>71</v>
      </c>
      <c r="AM1" t="s">
        <v>72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B1" t="s">
        <v>150</v>
      </c>
      <c r="BC1" t="s">
        <v>151</v>
      </c>
      <c r="BD1" t="s">
        <v>152</v>
      </c>
      <c r="BE1" t="s">
        <v>153</v>
      </c>
      <c r="BF1" t="s">
        <v>154</v>
      </c>
      <c r="BG1" t="s">
        <v>155</v>
      </c>
      <c r="BH1" t="s">
        <v>156</v>
      </c>
      <c r="BI1" t="s">
        <v>157</v>
      </c>
      <c r="BJ1" t="s">
        <v>158</v>
      </c>
      <c r="BK1" t="s">
        <v>159</v>
      </c>
      <c r="BL1" t="s">
        <v>160</v>
      </c>
      <c r="BM1" t="s">
        <v>161</v>
      </c>
    </row>
    <row r="2" spans="1:65">
      <c r="B2">
        <v>4022</v>
      </c>
      <c r="C2">
        <v>4871</v>
      </c>
      <c r="D2">
        <v>1756</v>
      </c>
      <c r="E2">
        <v>2619</v>
      </c>
      <c r="F2">
        <v>3313</v>
      </c>
      <c r="G2">
        <v>5184</v>
      </c>
      <c r="H2">
        <v>8020</v>
      </c>
      <c r="I2">
        <v>8754</v>
      </c>
      <c r="J2">
        <v>8941</v>
      </c>
      <c r="K2">
        <v>8768</v>
      </c>
      <c r="L2">
        <v>8326.1720000000005</v>
      </c>
      <c r="M2">
        <v>10924.513000000001</v>
      </c>
      <c r="O2">
        <v>3445</v>
      </c>
      <c r="P2">
        <v>7109</v>
      </c>
      <c r="Q2">
        <v>2025</v>
      </c>
      <c r="R2">
        <v>2735</v>
      </c>
      <c r="S2">
        <v>4031</v>
      </c>
      <c r="T2">
        <v>3909</v>
      </c>
      <c r="U2">
        <v>7414</v>
      </c>
      <c r="V2">
        <v>9007</v>
      </c>
      <c r="W2">
        <v>10279</v>
      </c>
      <c r="X2">
        <v>8343</v>
      </c>
      <c r="Y2">
        <v>9392</v>
      </c>
      <c r="Z2">
        <v>10538</v>
      </c>
      <c r="AB2">
        <v>3204.0830000000001</v>
      </c>
      <c r="AC2">
        <v>6481.2879999999996</v>
      </c>
      <c r="AD2">
        <v>2997.4580000000001</v>
      </c>
      <c r="AE2">
        <v>3066.0619999999999</v>
      </c>
      <c r="AF2">
        <v>4634.0060000000003</v>
      </c>
      <c r="AG2">
        <v>4736.3010000000004</v>
      </c>
      <c r="AH2">
        <v>7501.1469999999999</v>
      </c>
      <c r="AI2">
        <v>7707.8639999999996</v>
      </c>
      <c r="AJ2">
        <v>8994.9760000000006</v>
      </c>
      <c r="AK2">
        <v>11025.405000000001</v>
      </c>
      <c r="AL2">
        <v>9739.0439999999999</v>
      </c>
      <c r="AM2">
        <v>10527.69</v>
      </c>
      <c r="AO2">
        <v>3344</v>
      </c>
      <c r="AP2">
        <v>6810</v>
      </c>
      <c r="AQ2">
        <v>2717</v>
      </c>
      <c r="AR2">
        <v>2521</v>
      </c>
      <c r="AS2">
        <v>3448</v>
      </c>
      <c r="AT2">
        <v>4512</v>
      </c>
      <c r="AU2">
        <v>5453</v>
      </c>
      <c r="AV2">
        <v>6618</v>
      </c>
      <c r="AW2">
        <v>7368</v>
      </c>
      <c r="AX2">
        <v>7020</v>
      </c>
      <c r="AY2">
        <v>8353</v>
      </c>
      <c r="AZ2">
        <v>7193</v>
      </c>
      <c r="BB2">
        <v>4022</v>
      </c>
      <c r="BC2">
        <v>4871</v>
      </c>
      <c r="BD2">
        <v>1756</v>
      </c>
      <c r="BE2">
        <v>2619</v>
      </c>
      <c r="BF2">
        <v>3313</v>
      </c>
      <c r="BG2">
        <v>5184</v>
      </c>
      <c r="BH2">
        <v>8020</v>
      </c>
      <c r="BI2">
        <v>8754</v>
      </c>
      <c r="BJ2">
        <v>8941</v>
      </c>
      <c r="BK2">
        <v>8768</v>
      </c>
      <c r="BL2">
        <v>8326.1720000000005</v>
      </c>
      <c r="BM2">
        <v>10924.513000000001</v>
      </c>
    </row>
    <row r="3" spans="1:65">
      <c r="B3">
        <v>3053</v>
      </c>
      <c r="C3">
        <v>4378</v>
      </c>
      <c r="D3">
        <v>2682</v>
      </c>
      <c r="E3">
        <v>2781</v>
      </c>
      <c r="F3">
        <v>4759</v>
      </c>
      <c r="G3">
        <v>5825</v>
      </c>
      <c r="H3">
        <v>8313</v>
      </c>
      <c r="I3">
        <v>9271</v>
      </c>
      <c r="J3">
        <v>8860</v>
      </c>
      <c r="K3">
        <v>10080.81</v>
      </c>
      <c r="L3">
        <v>12234.223</v>
      </c>
      <c r="M3">
        <v>8333.6669999999995</v>
      </c>
      <c r="O3">
        <v>3553</v>
      </c>
      <c r="P3">
        <v>7452</v>
      </c>
      <c r="Q3">
        <v>2415</v>
      </c>
      <c r="R3">
        <v>3360</v>
      </c>
      <c r="S3">
        <v>4335</v>
      </c>
      <c r="T3">
        <v>5077</v>
      </c>
      <c r="U3">
        <v>5462</v>
      </c>
      <c r="V3">
        <v>7890</v>
      </c>
      <c r="W3">
        <v>7193</v>
      </c>
      <c r="X3">
        <v>6819</v>
      </c>
      <c r="Y3">
        <v>8192</v>
      </c>
      <c r="Z3">
        <v>10768</v>
      </c>
      <c r="AB3">
        <v>3011.4969999999998</v>
      </c>
      <c r="AC3">
        <v>4148.9579999999996</v>
      </c>
      <c r="AD3">
        <v>2305.7730000000001</v>
      </c>
      <c r="AE3">
        <v>2870.0419999999999</v>
      </c>
      <c r="AF3">
        <v>1697.5119999999999</v>
      </c>
      <c r="AG3">
        <v>4686.6229999999996</v>
      </c>
      <c r="AH3">
        <v>4825.7240000000002</v>
      </c>
      <c r="AI3">
        <v>7891.5959999999995</v>
      </c>
      <c r="AJ3">
        <v>8534.4339999999993</v>
      </c>
      <c r="AK3">
        <v>11400.949000000001</v>
      </c>
      <c r="AL3">
        <v>11697.421</v>
      </c>
      <c r="AM3">
        <v>10699.326999999999</v>
      </c>
      <c r="AO3">
        <v>2987</v>
      </c>
      <c r="AP3">
        <v>6637</v>
      </c>
      <c r="AQ3">
        <v>1665</v>
      </c>
      <c r="AR3">
        <v>3696</v>
      </c>
      <c r="AS3">
        <v>2663</v>
      </c>
      <c r="AT3">
        <v>3178</v>
      </c>
      <c r="AU3">
        <v>5710</v>
      </c>
      <c r="AV3">
        <v>6949</v>
      </c>
      <c r="AW3">
        <v>9392</v>
      </c>
      <c r="AX3">
        <v>6811</v>
      </c>
      <c r="AY3">
        <v>8038</v>
      </c>
      <c r="AZ3">
        <v>7743</v>
      </c>
      <c r="BB3">
        <v>3053</v>
      </c>
      <c r="BC3">
        <v>4378</v>
      </c>
      <c r="BD3">
        <v>2682</v>
      </c>
      <c r="BE3">
        <v>2781</v>
      </c>
      <c r="BF3">
        <v>4759</v>
      </c>
      <c r="BG3">
        <v>5825</v>
      </c>
      <c r="BH3">
        <v>8313</v>
      </c>
      <c r="BI3">
        <v>9271</v>
      </c>
      <c r="BJ3">
        <v>8860</v>
      </c>
      <c r="BK3">
        <v>10080.81</v>
      </c>
      <c r="BL3">
        <v>12234.223</v>
      </c>
      <c r="BM3">
        <v>8333.6669999999995</v>
      </c>
    </row>
    <row r="4" spans="1:65">
      <c r="B4">
        <v>3207</v>
      </c>
      <c r="C4">
        <v>5595</v>
      </c>
      <c r="D4">
        <v>2024</v>
      </c>
      <c r="E4">
        <v>2696</v>
      </c>
      <c r="F4">
        <v>3855</v>
      </c>
      <c r="G4">
        <v>5757</v>
      </c>
      <c r="H4">
        <v>7421</v>
      </c>
      <c r="I4">
        <v>8339</v>
      </c>
      <c r="J4">
        <v>9188</v>
      </c>
      <c r="K4">
        <v>9455.8230000000003</v>
      </c>
      <c r="L4">
        <v>9647.24</v>
      </c>
      <c r="M4">
        <v>8183.1310000000003</v>
      </c>
      <c r="O4">
        <v>2976</v>
      </c>
      <c r="P4">
        <v>6179</v>
      </c>
      <c r="Q4">
        <v>2432</v>
      </c>
      <c r="R4">
        <v>2683</v>
      </c>
      <c r="S4">
        <v>3899</v>
      </c>
      <c r="T4">
        <v>5032</v>
      </c>
      <c r="U4">
        <v>6523</v>
      </c>
      <c r="V4">
        <v>8673</v>
      </c>
      <c r="W4">
        <v>7691</v>
      </c>
      <c r="X4">
        <v>8842</v>
      </c>
      <c r="Y4">
        <v>9616</v>
      </c>
      <c r="Z4">
        <v>8692</v>
      </c>
      <c r="AE4">
        <v>2758.7269999999999</v>
      </c>
      <c r="AG4">
        <v>4543.2690000000002</v>
      </c>
      <c r="AH4">
        <v>6139.9539999999997</v>
      </c>
      <c r="AI4">
        <v>8219.3629999999994</v>
      </c>
      <c r="AJ4">
        <v>10683.808000000001</v>
      </c>
      <c r="AK4">
        <v>11930.503000000001</v>
      </c>
      <c r="AL4">
        <v>9192.7240000000002</v>
      </c>
      <c r="AM4">
        <v>9336.3169999999991</v>
      </c>
      <c r="AO4">
        <v>2243</v>
      </c>
      <c r="AP4">
        <v>3990</v>
      </c>
      <c r="AQ4">
        <v>2243</v>
      </c>
      <c r="AR4">
        <v>2828</v>
      </c>
      <c r="AS4">
        <v>2921</v>
      </c>
      <c r="AT4">
        <v>4799</v>
      </c>
      <c r="AU4">
        <v>6206</v>
      </c>
      <c r="AV4">
        <v>7244</v>
      </c>
      <c r="AW4">
        <v>10301</v>
      </c>
      <c r="AX4">
        <v>6781</v>
      </c>
      <c r="AY4">
        <v>7747</v>
      </c>
      <c r="AZ4">
        <v>7614</v>
      </c>
      <c r="BB4">
        <v>3207</v>
      </c>
      <c r="BC4">
        <v>5595</v>
      </c>
      <c r="BD4">
        <v>2024</v>
      </c>
      <c r="BE4">
        <v>2696</v>
      </c>
      <c r="BF4">
        <v>3855</v>
      </c>
      <c r="BG4">
        <v>5757</v>
      </c>
      <c r="BH4">
        <v>7421</v>
      </c>
      <c r="BI4">
        <v>8339</v>
      </c>
      <c r="BJ4">
        <v>9188</v>
      </c>
      <c r="BK4">
        <v>9455.8230000000003</v>
      </c>
      <c r="BL4">
        <v>9647.24</v>
      </c>
      <c r="BM4">
        <v>8183.1310000000003</v>
      </c>
    </row>
    <row r="5" spans="1:65">
      <c r="B5">
        <v>4278</v>
      </c>
      <c r="C5">
        <v>4681</v>
      </c>
      <c r="D5">
        <v>2488</v>
      </c>
      <c r="E5">
        <v>2372</v>
      </c>
      <c r="F5">
        <v>3029</v>
      </c>
      <c r="G5">
        <v>6025</v>
      </c>
      <c r="H5">
        <v>6243</v>
      </c>
      <c r="I5">
        <v>7930</v>
      </c>
      <c r="J5">
        <v>8289</v>
      </c>
      <c r="K5">
        <v>10795</v>
      </c>
      <c r="M5">
        <v>11830.611000000001</v>
      </c>
      <c r="O5">
        <v>2723</v>
      </c>
      <c r="P5">
        <v>6058</v>
      </c>
      <c r="Q5">
        <v>1796</v>
      </c>
      <c r="R5">
        <v>2388</v>
      </c>
      <c r="S5">
        <v>4327</v>
      </c>
      <c r="T5">
        <v>5020</v>
      </c>
      <c r="U5">
        <v>6736</v>
      </c>
      <c r="V5">
        <v>8253</v>
      </c>
      <c r="W5">
        <v>9455</v>
      </c>
      <c r="X5">
        <v>9142</v>
      </c>
      <c r="Y5">
        <v>8740</v>
      </c>
      <c r="Z5">
        <v>10877</v>
      </c>
      <c r="AI5">
        <v>7603.2079999999996</v>
      </c>
      <c r="AJ5">
        <v>8930.8109999999997</v>
      </c>
      <c r="AK5">
        <v>10840.924000000001</v>
      </c>
      <c r="AO5">
        <v>2337</v>
      </c>
      <c r="AP5">
        <v>4978</v>
      </c>
      <c r="AQ5">
        <v>1861</v>
      </c>
      <c r="AR5">
        <v>2062</v>
      </c>
      <c r="AS5">
        <v>2000</v>
      </c>
      <c r="AT5">
        <v>4512</v>
      </c>
      <c r="AU5">
        <v>4658</v>
      </c>
      <c r="AV5">
        <v>9745</v>
      </c>
      <c r="AW5">
        <v>8152</v>
      </c>
      <c r="AX5">
        <v>6249</v>
      </c>
      <c r="AY5">
        <v>7785</v>
      </c>
      <c r="BB5">
        <v>4278</v>
      </c>
      <c r="BC5">
        <v>4681</v>
      </c>
      <c r="BD5">
        <v>2488</v>
      </c>
      <c r="BE5">
        <v>2372</v>
      </c>
      <c r="BF5">
        <v>3029</v>
      </c>
      <c r="BG5">
        <v>6025</v>
      </c>
      <c r="BH5">
        <v>6243</v>
      </c>
      <c r="BI5">
        <v>7930</v>
      </c>
      <c r="BJ5">
        <v>8289</v>
      </c>
      <c r="BK5">
        <v>10795</v>
      </c>
      <c r="BL5">
        <v>9392</v>
      </c>
      <c r="BM5">
        <v>11830.611000000001</v>
      </c>
    </row>
    <row r="6" spans="1:65">
      <c r="B6">
        <v>2772</v>
      </c>
      <c r="C6">
        <v>6266</v>
      </c>
      <c r="F6">
        <v>3137</v>
      </c>
      <c r="G6">
        <v>3802</v>
      </c>
      <c r="H6">
        <v>8328</v>
      </c>
      <c r="I6">
        <v>7316</v>
      </c>
      <c r="J6">
        <v>9400</v>
      </c>
      <c r="K6">
        <v>9762.4760000000006</v>
      </c>
      <c r="M6">
        <v>7356.2389999999996</v>
      </c>
      <c r="P6">
        <v>6049</v>
      </c>
      <c r="Q6">
        <v>2125</v>
      </c>
      <c r="R6">
        <v>2512</v>
      </c>
      <c r="S6">
        <v>2353</v>
      </c>
      <c r="T6">
        <v>4513</v>
      </c>
      <c r="U6">
        <v>6763</v>
      </c>
      <c r="W6">
        <v>8032</v>
      </c>
      <c r="X6">
        <v>9734</v>
      </c>
      <c r="Y6">
        <v>9138</v>
      </c>
      <c r="AJ6">
        <v>7676.3509999999997</v>
      </c>
      <c r="AK6">
        <v>10151.66</v>
      </c>
      <c r="AT6">
        <v>3107</v>
      </c>
      <c r="AU6">
        <v>4898</v>
      </c>
      <c r="AV6">
        <v>7325</v>
      </c>
      <c r="AW6">
        <v>11296</v>
      </c>
      <c r="AX6">
        <v>8566</v>
      </c>
      <c r="AY6">
        <v>8092</v>
      </c>
      <c r="BB6">
        <v>2772</v>
      </c>
      <c r="BC6">
        <v>6266</v>
      </c>
      <c r="BD6">
        <v>2025</v>
      </c>
      <c r="BE6">
        <v>2735</v>
      </c>
      <c r="BF6">
        <v>3137</v>
      </c>
      <c r="BG6">
        <v>3802</v>
      </c>
      <c r="BH6">
        <v>8328</v>
      </c>
      <c r="BI6">
        <v>7316</v>
      </c>
      <c r="BJ6">
        <v>9400</v>
      </c>
      <c r="BK6">
        <v>9762.4760000000006</v>
      </c>
      <c r="BL6">
        <v>8192</v>
      </c>
      <c r="BM6">
        <v>7356.2389999999996</v>
      </c>
    </row>
    <row r="7" spans="1:65">
      <c r="B7">
        <v>2322</v>
      </c>
      <c r="C7">
        <v>6674</v>
      </c>
      <c r="G7">
        <v>5065</v>
      </c>
      <c r="H7">
        <v>5294</v>
      </c>
      <c r="I7">
        <v>8938</v>
      </c>
      <c r="J7">
        <v>8022</v>
      </c>
      <c r="K7">
        <v>11324.432000000001</v>
      </c>
      <c r="M7">
        <v>11637.218000000001</v>
      </c>
      <c r="P7">
        <v>5551</v>
      </c>
      <c r="Q7">
        <v>1918</v>
      </c>
      <c r="R7">
        <v>3209</v>
      </c>
      <c r="S7">
        <v>2692</v>
      </c>
      <c r="T7">
        <v>5579</v>
      </c>
      <c r="U7">
        <v>6951</v>
      </c>
      <c r="W7">
        <v>9710</v>
      </c>
      <c r="X7">
        <v>9468</v>
      </c>
      <c r="Y7">
        <v>8743</v>
      </c>
      <c r="AK7">
        <v>9974.8089999999993</v>
      </c>
      <c r="AT7">
        <v>3260</v>
      </c>
      <c r="AU7">
        <v>6177</v>
      </c>
      <c r="AV7">
        <v>10010</v>
      </c>
      <c r="AW7">
        <v>7682</v>
      </c>
      <c r="AX7">
        <v>8379</v>
      </c>
      <c r="BB7">
        <v>2322</v>
      </c>
      <c r="BC7">
        <v>6674</v>
      </c>
      <c r="BD7">
        <v>2415</v>
      </c>
      <c r="BE7">
        <v>3360</v>
      </c>
      <c r="BF7">
        <v>4031</v>
      </c>
      <c r="BG7">
        <v>5065</v>
      </c>
      <c r="BH7">
        <v>5294</v>
      </c>
      <c r="BI7">
        <v>8938</v>
      </c>
      <c r="BJ7">
        <v>8022</v>
      </c>
      <c r="BK7">
        <v>11324.432000000001</v>
      </c>
      <c r="BL7">
        <v>9616</v>
      </c>
      <c r="BM7">
        <v>11637.218000000001</v>
      </c>
    </row>
    <row r="8" spans="1:65">
      <c r="G8">
        <v>4846</v>
      </c>
      <c r="H8">
        <v>6250</v>
      </c>
      <c r="I8">
        <v>7143</v>
      </c>
      <c r="J8">
        <v>9235.58</v>
      </c>
      <c r="K8">
        <v>9326.6489999999994</v>
      </c>
      <c r="P8">
        <v>4988</v>
      </c>
      <c r="R8">
        <v>2185</v>
      </c>
      <c r="S8">
        <v>2203</v>
      </c>
      <c r="T8">
        <v>4157</v>
      </c>
      <c r="U8">
        <v>6584</v>
      </c>
      <c r="W8">
        <v>8457</v>
      </c>
      <c r="X8">
        <v>8897</v>
      </c>
      <c r="AV8">
        <v>10889</v>
      </c>
      <c r="BB8">
        <v>3445</v>
      </c>
      <c r="BC8">
        <v>7109</v>
      </c>
      <c r="BD8">
        <v>2432</v>
      </c>
      <c r="BE8">
        <v>2683</v>
      </c>
      <c r="BF8">
        <v>4335</v>
      </c>
      <c r="BG8">
        <v>4846</v>
      </c>
      <c r="BH8">
        <v>6250</v>
      </c>
      <c r="BI8">
        <v>7143</v>
      </c>
      <c r="BJ8">
        <v>9235.58</v>
      </c>
      <c r="BK8">
        <v>9326.6489999999994</v>
      </c>
      <c r="BL8">
        <v>8740</v>
      </c>
      <c r="BM8">
        <v>10538</v>
      </c>
    </row>
    <row r="9" spans="1:65">
      <c r="I9">
        <v>9845</v>
      </c>
      <c r="P9">
        <v>4383</v>
      </c>
      <c r="T9">
        <v>4534</v>
      </c>
      <c r="W9">
        <v>8736</v>
      </c>
      <c r="AV9">
        <v>6752</v>
      </c>
      <c r="BB9">
        <v>3553</v>
      </c>
      <c r="BC9">
        <v>7452</v>
      </c>
      <c r="BD9">
        <v>1796</v>
      </c>
      <c r="BE9">
        <v>2388</v>
      </c>
      <c r="BF9">
        <v>3899</v>
      </c>
      <c r="BG9">
        <v>3909</v>
      </c>
      <c r="BH9">
        <v>7414</v>
      </c>
      <c r="BI9">
        <v>9845</v>
      </c>
      <c r="BJ9">
        <v>10279</v>
      </c>
      <c r="BK9">
        <v>8343</v>
      </c>
      <c r="BL9">
        <v>9138</v>
      </c>
      <c r="BM9">
        <v>10768</v>
      </c>
    </row>
    <row r="10" spans="1:65">
      <c r="I10">
        <v>7498</v>
      </c>
      <c r="P10">
        <v>5927</v>
      </c>
      <c r="W10">
        <v>7582</v>
      </c>
      <c r="BB10">
        <v>2976</v>
      </c>
      <c r="BC10">
        <v>6179</v>
      </c>
      <c r="BD10">
        <v>2125</v>
      </c>
      <c r="BE10">
        <v>2512</v>
      </c>
      <c r="BF10">
        <v>4327</v>
      </c>
      <c r="BG10">
        <v>5077</v>
      </c>
      <c r="BH10">
        <v>5462</v>
      </c>
      <c r="BI10">
        <v>7498</v>
      </c>
      <c r="BJ10">
        <v>7193</v>
      </c>
      <c r="BK10">
        <v>6819</v>
      </c>
      <c r="BL10">
        <v>8743</v>
      </c>
      <c r="BM10">
        <v>8692</v>
      </c>
    </row>
    <row r="11" spans="1:65">
      <c r="I11">
        <v>7813</v>
      </c>
      <c r="W11">
        <v>8399</v>
      </c>
      <c r="BB11">
        <v>2723</v>
      </c>
      <c r="BC11">
        <v>6058</v>
      </c>
      <c r="BD11">
        <v>1918</v>
      </c>
      <c r="BE11">
        <v>3209</v>
      </c>
      <c r="BF11">
        <v>2353</v>
      </c>
      <c r="BG11">
        <v>5032</v>
      </c>
      <c r="BH11">
        <v>6523</v>
      </c>
      <c r="BI11">
        <v>7813</v>
      </c>
      <c r="BJ11">
        <v>7691</v>
      </c>
      <c r="BK11">
        <v>8842</v>
      </c>
      <c r="BM11">
        <v>10877</v>
      </c>
    </row>
    <row r="12" spans="1:65">
      <c r="BC12">
        <v>6049</v>
      </c>
      <c r="BE12">
        <v>2185</v>
      </c>
      <c r="BF12">
        <v>2692</v>
      </c>
      <c r="BG12">
        <v>5020</v>
      </c>
      <c r="BH12">
        <v>6736</v>
      </c>
      <c r="BI12">
        <v>9007</v>
      </c>
      <c r="BJ12">
        <v>9455</v>
      </c>
      <c r="BK12">
        <v>9142</v>
      </c>
    </row>
    <row r="13" spans="1:65">
      <c r="BC13">
        <v>5551</v>
      </c>
      <c r="BF13">
        <v>2203</v>
      </c>
      <c r="BG13">
        <v>4513</v>
      </c>
      <c r="BH13">
        <v>6763</v>
      </c>
      <c r="BI13">
        <v>7890</v>
      </c>
      <c r="BJ13">
        <v>8032</v>
      </c>
      <c r="BK13">
        <v>9734</v>
      </c>
    </row>
    <row r="14" spans="1:65">
      <c r="BC14">
        <v>4988</v>
      </c>
      <c r="BG14">
        <v>5579</v>
      </c>
      <c r="BH14">
        <v>6951</v>
      </c>
      <c r="BI14">
        <v>8673</v>
      </c>
      <c r="BJ14">
        <v>9710</v>
      </c>
      <c r="BK14">
        <v>9468</v>
      </c>
    </row>
    <row r="15" spans="1:65">
      <c r="BC15">
        <v>4383</v>
      </c>
      <c r="BG15">
        <v>4157</v>
      </c>
      <c r="BH15">
        <v>6584</v>
      </c>
      <c r="BI15">
        <v>8253</v>
      </c>
      <c r="BJ15">
        <v>8457</v>
      </c>
      <c r="BK15">
        <v>8897</v>
      </c>
    </row>
    <row r="16" spans="1:65">
      <c r="BC16">
        <v>5927</v>
      </c>
      <c r="BG16">
        <v>4534</v>
      </c>
      <c r="BJ16">
        <v>8736</v>
      </c>
    </row>
    <row r="17" spans="1:65">
      <c r="BJ17">
        <v>7582</v>
      </c>
    </row>
    <row r="18" spans="1:65">
      <c r="BJ18">
        <v>8399</v>
      </c>
    </row>
    <row r="21" spans="1:65">
      <c r="A21" t="s">
        <v>131</v>
      </c>
      <c r="B21">
        <v>218</v>
      </c>
      <c r="C21">
        <v>217</v>
      </c>
      <c r="D21">
        <v>218</v>
      </c>
      <c r="E21">
        <v>256</v>
      </c>
      <c r="F21">
        <v>559</v>
      </c>
      <c r="G21">
        <v>901</v>
      </c>
      <c r="H21">
        <v>944</v>
      </c>
      <c r="I21">
        <v>1140</v>
      </c>
      <c r="J21">
        <v>1605</v>
      </c>
      <c r="K21">
        <v>1478</v>
      </c>
      <c r="L21">
        <v>1823</v>
      </c>
      <c r="M21">
        <v>2460</v>
      </c>
      <c r="O21">
        <v>134</v>
      </c>
      <c r="P21">
        <v>165</v>
      </c>
      <c r="Q21">
        <v>174</v>
      </c>
      <c r="R21">
        <v>237</v>
      </c>
      <c r="S21">
        <v>368</v>
      </c>
      <c r="T21">
        <v>768</v>
      </c>
      <c r="U21">
        <v>1073</v>
      </c>
      <c r="V21">
        <v>1701</v>
      </c>
      <c r="W21">
        <v>1967</v>
      </c>
      <c r="X21">
        <v>3887</v>
      </c>
      <c r="Y21">
        <v>3754</v>
      </c>
      <c r="Z21">
        <v>3782</v>
      </c>
      <c r="AB21">
        <v>243.45099999999999</v>
      </c>
      <c r="AC21">
        <v>270.56200000000001</v>
      </c>
      <c r="AD21">
        <v>284.40800000000002</v>
      </c>
      <c r="AE21">
        <v>449.036</v>
      </c>
      <c r="AF21">
        <v>372.25900000000001</v>
      </c>
      <c r="AG21">
        <v>534.12</v>
      </c>
      <c r="AH21">
        <v>641.30200000000002</v>
      </c>
      <c r="AI21">
        <v>870.846</v>
      </c>
      <c r="AJ21">
        <v>993.90499999999997</v>
      </c>
      <c r="AK21">
        <v>1921.4559999999999</v>
      </c>
      <c r="AL21">
        <v>1605.1780000000001</v>
      </c>
      <c r="AM21">
        <v>2618.4110000000001</v>
      </c>
      <c r="AO21">
        <v>123</v>
      </c>
      <c r="AP21">
        <v>150</v>
      </c>
      <c r="AQ21">
        <v>144</v>
      </c>
      <c r="AR21">
        <v>308</v>
      </c>
      <c r="AS21">
        <v>420</v>
      </c>
      <c r="AT21">
        <v>798</v>
      </c>
      <c r="AU21">
        <v>1260</v>
      </c>
      <c r="AV21">
        <v>1951</v>
      </c>
      <c r="AW21">
        <v>2600</v>
      </c>
      <c r="AX21">
        <v>2360</v>
      </c>
      <c r="AY21">
        <v>2558</v>
      </c>
      <c r="AZ21">
        <v>2903</v>
      </c>
      <c r="BB21">
        <v>218</v>
      </c>
      <c r="BC21">
        <v>217</v>
      </c>
      <c r="BD21">
        <v>218</v>
      </c>
      <c r="BE21">
        <v>256</v>
      </c>
      <c r="BF21">
        <v>559</v>
      </c>
      <c r="BG21">
        <v>901</v>
      </c>
      <c r="BH21">
        <v>944</v>
      </c>
      <c r="BI21">
        <v>1140</v>
      </c>
      <c r="BJ21">
        <v>1605</v>
      </c>
      <c r="BK21">
        <v>1478</v>
      </c>
      <c r="BL21">
        <v>1823</v>
      </c>
      <c r="BM21">
        <v>2460</v>
      </c>
    </row>
    <row r="22" spans="1:65">
      <c r="B22">
        <v>225</v>
      </c>
      <c r="C22">
        <v>243</v>
      </c>
      <c r="D22">
        <v>260</v>
      </c>
      <c r="E22">
        <v>311</v>
      </c>
      <c r="F22">
        <v>473</v>
      </c>
      <c r="G22">
        <v>614</v>
      </c>
      <c r="H22">
        <v>1057</v>
      </c>
      <c r="I22">
        <v>1254</v>
      </c>
      <c r="J22">
        <v>1614</v>
      </c>
      <c r="K22">
        <v>1892</v>
      </c>
      <c r="L22">
        <v>2520</v>
      </c>
      <c r="M22">
        <v>1577</v>
      </c>
      <c r="O22">
        <v>113</v>
      </c>
      <c r="P22">
        <v>95</v>
      </c>
      <c r="Q22">
        <v>118</v>
      </c>
      <c r="R22">
        <v>413</v>
      </c>
      <c r="S22">
        <v>583</v>
      </c>
      <c r="T22">
        <v>797</v>
      </c>
      <c r="U22">
        <v>1091</v>
      </c>
      <c r="V22">
        <v>1519</v>
      </c>
      <c r="W22">
        <v>2388</v>
      </c>
      <c r="X22">
        <v>3478</v>
      </c>
      <c r="Y22">
        <v>4594</v>
      </c>
      <c r="Z22">
        <v>3857</v>
      </c>
      <c r="AB22">
        <v>283.197</v>
      </c>
      <c r="AC22">
        <v>323.32900000000001</v>
      </c>
      <c r="AD22">
        <v>343.798</v>
      </c>
      <c r="AE22">
        <v>330.68299999999999</v>
      </c>
      <c r="AF22">
        <v>420.84300000000002</v>
      </c>
      <c r="AG22">
        <v>513.15300000000002</v>
      </c>
      <c r="AH22">
        <v>984.61400000000003</v>
      </c>
      <c r="AI22">
        <v>1204.4449999999999</v>
      </c>
      <c r="AJ22">
        <v>1223.7539999999999</v>
      </c>
      <c r="AK22">
        <v>1586.4770000000001</v>
      </c>
      <c r="AL22">
        <v>2759.4229999999998</v>
      </c>
      <c r="AM22">
        <v>2935.0340000000001</v>
      </c>
      <c r="AO22">
        <v>172</v>
      </c>
      <c r="AP22">
        <v>221</v>
      </c>
      <c r="AQ22">
        <v>296</v>
      </c>
      <c r="AR22">
        <v>224</v>
      </c>
      <c r="AS22">
        <v>422</v>
      </c>
      <c r="AT22">
        <v>415</v>
      </c>
      <c r="AU22">
        <v>783</v>
      </c>
      <c r="AV22">
        <v>901</v>
      </c>
      <c r="AW22">
        <v>2154</v>
      </c>
      <c r="AX22">
        <v>3147</v>
      </c>
      <c r="AY22">
        <v>2856</v>
      </c>
      <c r="AZ22">
        <v>2722</v>
      </c>
      <c r="BB22">
        <v>225</v>
      </c>
      <c r="BC22">
        <v>243</v>
      </c>
      <c r="BD22">
        <v>260</v>
      </c>
      <c r="BE22">
        <v>311</v>
      </c>
      <c r="BF22">
        <v>473</v>
      </c>
      <c r="BG22">
        <v>614</v>
      </c>
      <c r="BH22">
        <v>1057</v>
      </c>
      <c r="BI22">
        <v>1254</v>
      </c>
      <c r="BJ22">
        <v>1614</v>
      </c>
      <c r="BK22">
        <v>1892</v>
      </c>
      <c r="BL22">
        <v>2520</v>
      </c>
      <c r="BM22">
        <v>1577</v>
      </c>
    </row>
    <row r="23" spans="1:65">
      <c r="B23">
        <v>240</v>
      </c>
      <c r="C23">
        <v>219</v>
      </c>
      <c r="D23">
        <v>292</v>
      </c>
      <c r="E23">
        <v>290</v>
      </c>
      <c r="F23">
        <v>750</v>
      </c>
      <c r="G23">
        <v>742</v>
      </c>
      <c r="H23">
        <v>1389</v>
      </c>
      <c r="I23">
        <v>1440</v>
      </c>
      <c r="J23">
        <v>1630</v>
      </c>
      <c r="K23">
        <v>1837</v>
      </c>
      <c r="L23">
        <v>2145</v>
      </c>
      <c r="M23">
        <v>2558</v>
      </c>
      <c r="O23">
        <v>117</v>
      </c>
      <c r="P23">
        <v>143</v>
      </c>
      <c r="Q23">
        <v>171</v>
      </c>
      <c r="R23">
        <v>283</v>
      </c>
      <c r="S23">
        <v>391</v>
      </c>
      <c r="T23">
        <v>924</v>
      </c>
      <c r="U23">
        <v>1163</v>
      </c>
      <c r="V23">
        <v>1460</v>
      </c>
      <c r="W23">
        <v>2394</v>
      </c>
      <c r="X23">
        <v>2870</v>
      </c>
      <c r="Y23">
        <v>3501</v>
      </c>
      <c r="Z23">
        <v>2662</v>
      </c>
      <c r="AC23">
        <v>308.84500000000003</v>
      </c>
      <c r="AD23">
        <v>243.19499999999999</v>
      </c>
      <c r="AE23">
        <v>396.00799999999998</v>
      </c>
      <c r="AF23">
        <v>410.447</v>
      </c>
      <c r="AG23">
        <v>645.64099999999996</v>
      </c>
      <c r="AH23">
        <v>725.47500000000002</v>
      </c>
      <c r="AI23">
        <v>1385.1780000000001</v>
      </c>
      <c r="AJ23">
        <v>1132.0640000000001</v>
      </c>
      <c r="AK23">
        <v>2027.3889999999999</v>
      </c>
      <c r="AL23">
        <v>2363.5210000000002</v>
      </c>
      <c r="AM23">
        <v>4036.03</v>
      </c>
      <c r="AO23">
        <v>145</v>
      </c>
      <c r="AP23">
        <v>172</v>
      </c>
      <c r="AQ23">
        <v>254</v>
      </c>
      <c r="AR23">
        <v>378</v>
      </c>
      <c r="AS23">
        <v>408</v>
      </c>
      <c r="AT23">
        <v>544</v>
      </c>
      <c r="AU23">
        <v>836</v>
      </c>
      <c r="AV23">
        <v>881</v>
      </c>
      <c r="AW23">
        <v>2088</v>
      </c>
      <c r="AX23">
        <v>1089</v>
      </c>
      <c r="AY23">
        <v>3693</v>
      </c>
      <c r="AZ23">
        <v>1124</v>
      </c>
      <c r="BB23">
        <v>240</v>
      </c>
      <c r="BC23">
        <v>219</v>
      </c>
      <c r="BD23">
        <v>292</v>
      </c>
      <c r="BE23">
        <v>290</v>
      </c>
      <c r="BF23">
        <v>750</v>
      </c>
      <c r="BG23">
        <v>742</v>
      </c>
      <c r="BH23">
        <v>1389</v>
      </c>
      <c r="BI23">
        <v>1440</v>
      </c>
      <c r="BJ23">
        <v>1630</v>
      </c>
      <c r="BK23">
        <v>1837</v>
      </c>
      <c r="BL23">
        <v>2145</v>
      </c>
      <c r="BM23">
        <v>2558</v>
      </c>
    </row>
    <row r="24" spans="1:65">
      <c r="G24">
        <v>1074</v>
      </c>
      <c r="H24">
        <v>1122</v>
      </c>
      <c r="I24">
        <v>1578</v>
      </c>
      <c r="J24">
        <v>1665</v>
      </c>
      <c r="K24">
        <v>1946</v>
      </c>
      <c r="M24">
        <v>1160</v>
      </c>
      <c r="O24">
        <v>143</v>
      </c>
      <c r="P24">
        <v>155</v>
      </c>
      <c r="Q24">
        <v>152</v>
      </c>
      <c r="R24">
        <v>248</v>
      </c>
      <c r="S24">
        <v>548</v>
      </c>
      <c r="T24">
        <v>569</v>
      </c>
      <c r="U24">
        <v>707</v>
      </c>
      <c r="V24">
        <v>1567</v>
      </c>
      <c r="W24">
        <v>1177</v>
      </c>
      <c r="X24">
        <v>3088</v>
      </c>
      <c r="Y24">
        <v>4335</v>
      </c>
      <c r="Z24">
        <v>2898</v>
      </c>
      <c r="AF24">
        <v>444.61900000000003</v>
      </c>
      <c r="AH24">
        <v>581.721</v>
      </c>
      <c r="AI24">
        <v>1212.0050000000001</v>
      </c>
      <c r="AJ24">
        <v>1246.606</v>
      </c>
      <c r="AK24">
        <v>2071.1529999999998</v>
      </c>
      <c r="AL24">
        <v>1566.4390000000001</v>
      </c>
      <c r="AT24">
        <v>532</v>
      </c>
      <c r="AU24">
        <v>841</v>
      </c>
      <c r="AV24">
        <v>1568</v>
      </c>
      <c r="AW24">
        <v>1729</v>
      </c>
      <c r="AY24">
        <v>3007</v>
      </c>
      <c r="AZ24">
        <v>2779</v>
      </c>
      <c r="BB24">
        <v>134</v>
      </c>
      <c r="BC24">
        <v>165</v>
      </c>
      <c r="BD24">
        <v>174</v>
      </c>
      <c r="BE24">
        <v>237</v>
      </c>
      <c r="BF24">
        <v>368</v>
      </c>
      <c r="BG24">
        <v>1074</v>
      </c>
      <c r="BH24">
        <v>1122</v>
      </c>
      <c r="BI24">
        <v>1578</v>
      </c>
      <c r="BJ24">
        <v>1665</v>
      </c>
      <c r="BK24">
        <v>1946</v>
      </c>
      <c r="BL24">
        <v>3754</v>
      </c>
      <c r="BM24">
        <v>1160</v>
      </c>
    </row>
    <row r="25" spans="1:65">
      <c r="G25">
        <v>886</v>
      </c>
      <c r="H25">
        <v>1357</v>
      </c>
      <c r="I25">
        <v>1309</v>
      </c>
      <c r="J25">
        <v>1636</v>
      </c>
      <c r="S25">
        <v>407</v>
      </c>
      <c r="T25">
        <v>483</v>
      </c>
      <c r="U25">
        <v>923</v>
      </c>
      <c r="W25">
        <v>2779</v>
      </c>
      <c r="Y25">
        <v>3523</v>
      </c>
      <c r="Z25">
        <v>3060</v>
      </c>
      <c r="AJ25">
        <v>960.29399999999998</v>
      </c>
      <c r="AK25">
        <v>1790.2809999999999</v>
      </c>
      <c r="AL25">
        <v>2963.6559999999999</v>
      </c>
      <c r="AU25">
        <v>762</v>
      </c>
      <c r="AV25">
        <v>1226</v>
      </c>
      <c r="AW25">
        <v>2558</v>
      </c>
      <c r="AZ25">
        <v>1917</v>
      </c>
      <c r="BB25">
        <v>113</v>
      </c>
      <c r="BC25">
        <v>95</v>
      </c>
      <c r="BD25">
        <v>118</v>
      </c>
      <c r="BE25">
        <v>413</v>
      </c>
      <c r="BF25">
        <v>583</v>
      </c>
      <c r="BG25">
        <v>886</v>
      </c>
      <c r="BH25">
        <v>1357</v>
      </c>
      <c r="BI25">
        <v>1309</v>
      </c>
      <c r="BJ25">
        <v>1636</v>
      </c>
      <c r="BK25">
        <v>3887</v>
      </c>
      <c r="BL25">
        <v>4594</v>
      </c>
      <c r="BM25">
        <v>3782</v>
      </c>
    </row>
    <row r="26" spans="1:65">
      <c r="G26">
        <v>890</v>
      </c>
      <c r="J26">
        <v>1749</v>
      </c>
      <c r="W26">
        <v>2889</v>
      </c>
      <c r="AV26">
        <v>1331</v>
      </c>
      <c r="BB26">
        <v>117</v>
      </c>
      <c r="BC26">
        <v>143</v>
      </c>
      <c r="BD26">
        <v>171</v>
      </c>
      <c r="BE26">
        <v>283</v>
      </c>
      <c r="BF26">
        <v>391</v>
      </c>
      <c r="BG26">
        <v>890</v>
      </c>
      <c r="BH26">
        <v>1073</v>
      </c>
      <c r="BI26">
        <v>1701</v>
      </c>
      <c r="BJ26">
        <v>1749</v>
      </c>
      <c r="BK26">
        <v>3478</v>
      </c>
      <c r="BL26">
        <v>3501</v>
      </c>
      <c r="BM26">
        <v>3857</v>
      </c>
    </row>
    <row r="27" spans="1:65">
      <c r="G27">
        <v>978</v>
      </c>
      <c r="J27">
        <v>1338</v>
      </c>
      <c r="BB27">
        <v>143</v>
      </c>
      <c r="BC27">
        <v>155</v>
      </c>
      <c r="BD27">
        <v>152</v>
      </c>
      <c r="BE27">
        <v>248</v>
      </c>
      <c r="BF27">
        <v>548</v>
      </c>
      <c r="BG27">
        <v>978</v>
      </c>
      <c r="BH27">
        <v>1091</v>
      </c>
      <c r="BI27">
        <v>1519</v>
      </c>
      <c r="BJ27">
        <v>1338</v>
      </c>
      <c r="BK27">
        <v>2870</v>
      </c>
      <c r="BL27">
        <v>4335</v>
      </c>
      <c r="BM27">
        <v>2662</v>
      </c>
    </row>
    <row r="28" spans="1:65">
      <c r="G28">
        <v>862</v>
      </c>
      <c r="BF28">
        <v>407</v>
      </c>
      <c r="BG28">
        <v>862</v>
      </c>
      <c r="BH28">
        <v>1163</v>
      </c>
      <c r="BI28">
        <v>1460</v>
      </c>
      <c r="BJ28">
        <v>1967</v>
      </c>
      <c r="BK28">
        <v>3088</v>
      </c>
      <c r="BL28">
        <v>3523</v>
      </c>
      <c r="BM28">
        <v>2898</v>
      </c>
    </row>
    <row r="29" spans="1:65">
      <c r="G29">
        <v>841</v>
      </c>
      <c r="BG29">
        <v>841</v>
      </c>
      <c r="BH29">
        <v>707</v>
      </c>
      <c r="BI29">
        <v>1567</v>
      </c>
      <c r="BJ29">
        <v>2388</v>
      </c>
      <c r="BM29">
        <v>3060</v>
      </c>
    </row>
    <row r="30" spans="1:65">
      <c r="BG30">
        <v>768</v>
      </c>
      <c r="BH30">
        <v>923</v>
      </c>
      <c r="BJ30">
        <v>2394</v>
      </c>
    </row>
    <row r="31" spans="1:65">
      <c r="BG31">
        <v>797</v>
      </c>
      <c r="BJ31">
        <v>1177</v>
      </c>
    </row>
    <row r="32" spans="1:65">
      <c r="BG32">
        <v>924</v>
      </c>
      <c r="BJ32">
        <v>2779</v>
      </c>
    </row>
    <row r="33" spans="1:65">
      <c r="BG33">
        <v>569</v>
      </c>
      <c r="BJ33">
        <v>2889</v>
      </c>
    </row>
    <row r="34" spans="1:65">
      <c r="BG34">
        <v>483</v>
      </c>
    </row>
    <row r="37" spans="1:65" s="5" customFormat="1">
      <c r="A37" s="5" t="s">
        <v>21</v>
      </c>
      <c r="B37" s="5">
        <f>AVERAGE(B21:B35)</f>
        <v>227.66666666666666</v>
      </c>
      <c r="C37" s="5">
        <f>AVERAGE(C21:C35)</f>
        <v>226.33333333333334</v>
      </c>
      <c r="D37" s="5">
        <f>AVERAGE(D21:D35)</f>
        <v>256.66666666666669</v>
      </c>
      <c r="E37" s="5">
        <f>AVERAGE(E21:E35)</f>
        <v>285.66666666666669</v>
      </c>
      <c r="F37" s="5">
        <f>AVERAGE(F21:F35)</f>
        <v>594</v>
      </c>
      <c r="G37" s="5">
        <f>AVERAGE(G21:G35)</f>
        <v>865.33333333333337</v>
      </c>
      <c r="H37" s="5">
        <f>AVERAGE(H21:H35)</f>
        <v>1173.8</v>
      </c>
      <c r="I37" s="5">
        <f>AVERAGE(I21:I35)</f>
        <v>1344.2</v>
      </c>
      <c r="J37" s="5">
        <f>AVERAGE(J21:J35)</f>
        <v>1605.2857142857142</v>
      </c>
      <c r="K37" s="5">
        <f>AVERAGE(K21:K35)</f>
        <v>1788.25</v>
      </c>
      <c r="L37" s="5">
        <f>AVERAGE(L21:L35)</f>
        <v>2162.6666666666665</v>
      </c>
      <c r="M37" s="5">
        <f>AVERAGE(M21:M35)</f>
        <v>1938.75</v>
      </c>
      <c r="O37" s="5">
        <f>AVERAGE(O21:O35)</f>
        <v>126.75</v>
      </c>
      <c r="P37" s="5">
        <f>AVERAGE(P21:P35)</f>
        <v>139.5</v>
      </c>
      <c r="Q37" s="5">
        <f>AVERAGE(Q21:Q35)</f>
        <v>153.75</v>
      </c>
      <c r="R37" s="5">
        <f>AVERAGE(R21:R35)</f>
        <v>295.25</v>
      </c>
      <c r="S37" s="5">
        <f>AVERAGE(S21:S35)</f>
        <v>459.4</v>
      </c>
      <c r="T37" s="5">
        <f>AVERAGE(T21:T35)</f>
        <v>708.2</v>
      </c>
      <c r="U37" s="5">
        <f>AVERAGE(U21:U35)</f>
        <v>991.4</v>
      </c>
      <c r="V37" s="5">
        <f>AVERAGE(V21:V35)</f>
        <v>1561.75</v>
      </c>
      <c r="W37" s="5">
        <f>AVERAGE(W21:W35)</f>
        <v>2265.6666666666665</v>
      </c>
      <c r="X37" s="5">
        <f>AVERAGE(X21:X35)</f>
        <v>3330.75</v>
      </c>
      <c r="Y37" s="5">
        <f>AVERAGE(Y21:Y35)</f>
        <v>3941.4</v>
      </c>
      <c r="Z37" s="5">
        <f>AVERAGE(Z21:Z35)</f>
        <v>3251.8</v>
      </c>
      <c r="AB37" s="5">
        <f>AVERAGE(AB21:AB35)</f>
        <v>263.32400000000001</v>
      </c>
      <c r="AC37" s="5">
        <f>AVERAGE(AC21:AC35)</f>
        <v>300.91200000000003</v>
      </c>
      <c r="AD37" s="5">
        <f>AVERAGE(AD21:AD35)</f>
        <v>290.46700000000004</v>
      </c>
      <c r="AE37" s="5">
        <f>AVERAGE(AE21:AE35)</f>
        <v>391.90900000000005</v>
      </c>
      <c r="AF37" s="5">
        <f>AVERAGE(AF21:AF35)</f>
        <v>412.04200000000003</v>
      </c>
      <c r="AG37" s="5">
        <f>AVERAGE(AG21:AG35)</f>
        <v>564.30466666666678</v>
      </c>
      <c r="AH37" s="5">
        <f>AVERAGE(AH21:AH35)</f>
        <v>733.27800000000002</v>
      </c>
      <c r="AI37" s="5">
        <f>AVERAGE(AI21:AI35)</f>
        <v>1168.1185</v>
      </c>
      <c r="AJ37" s="5">
        <f>AVERAGE(AJ21:AJ35)</f>
        <v>1111.3245999999999</v>
      </c>
      <c r="AK37" s="5">
        <f>AVERAGE(AK21:AK35)</f>
        <v>1879.3512000000003</v>
      </c>
      <c r="AL37" s="5">
        <f>AVERAGE(AL21:AL35)</f>
        <v>2251.6433999999999</v>
      </c>
      <c r="AM37" s="5">
        <f>AVERAGE(AM21:AM35)</f>
        <v>3196.4916666666668</v>
      </c>
      <c r="AO37" s="5">
        <f>AVERAGE(AO21:AO35)</f>
        <v>146.66666666666666</v>
      </c>
      <c r="AP37" s="5">
        <f>AVERAGE(AP21:AP35)</f>
        <v>181</v>
      </c>
      <c r="AQ37" s="5">
        <f>AVERAGE(AQ21:AQ35)</f>
        <v>231.33333333333334</v>
      </c>
      <c r="AR37" s="5">
        <f>AVERAGE(AR21:AR35)</f>
        <v>303.33333333333331</v>
      </c>
      <c r="AS37" s="5">
        <f>AVERAGE(AS21:AS35)</f>
        <v>416.66666666666669</v>
      </c>
      <c r="AT37" s="5">
        <f>AVERAGE(AT21:AT35)</f>
        <v>572.25</v>
      </c>
      <c r="AU37" s="5">
        <f>AVERAGE(AU21:AU35)</f>
        <v>896.4</v>
      </c>
      <c r="AV37" s="5">
        <f>AVERAGE(AV21:AV35)</f>
        <v>1309.6666666666667</v>
      </c>
      <c r="AW37" s="5">
        <f>AVERAGE(AW21:AW35)</f>
        <v>2225.8000000000002</v>
      </c>
      <c r="AX37" s="5">
        <f>AVERAGE(AX21:AX35)</f>
        <v>2198.6666666666665</v>
      </c>
      <c r="AY37" s="5">
        <f>AVERAGE(AY21:AY35)</f>
        <v>3028.5</v>
      </c>
      <c r="AZ37" s="5">
        <f>AVERAGE(AZ21:AZ35)</f>
        <v>2289</v>
      </c>
      <c r="BB37" s="5">
        <f t="shared" ref="BB37:BM37" si="0">AVERAGE(BB21:BB35)</f>
        <v>170</v>
      </c>
      <c r="BC37" s="5">
        <f t="shared" si="0"/>
        <v>176.71428571428572</v>
      </c>
      <c r="BD37" s="5">
        <f t="shared" si="0"/>
        <v>197.85714285714286</v>
      </c>
      <c r="BE37" s="5">
        <f t="shared" si="0"/>
        <v>291.14285714285717</v>
      </c>
      <c r="BF37" s="5">
        <f t="shared" si="0"/>
        <v>509.875</v>
      </c>
      <c r="BG37" s="5">
        <f t="shared" si="0"/>
        <v>809.21428571428567</v>
      </c>
      <c r="BH37" s="5">
        <f t="shared" si="0"/>
        <v>1082.5999999999999</v>
      </c>
      <c r="BI37" s="5">
        <f t="shared" si="0"/>
        <v>1440.8888888888889</v>
      </c>
      <c r="BJ37" s="5">
        <f t="shared" si="0"/>
        <v>1910.0769230769231</v>
      </c>
      <c r="BK37" s="5">
        <f t="shared" si="0"/>
        <v>2559.5</v>
      </c>
      <c r="BL37" s="5">
        <f t="shared" si="0"/>
        <v>3274.375</v>
      </c>
      <c r="BM37" s="5">
        <f t="shared" si="0"/>
        <v>2668.2222222222222</v>
      </c>
    </row>
    <row r="40" spans="1:65">
      <c r="A40" t="s">
        <v>132</v>
      </c>
      <c r="B40" t="s">
        <v>0</v>
      </c>
      <c r="C40" t="s">
        <v>1</v>
      </c>
      <c r="D40" t="s">
        <v>2</v>
      </c>
      <c r="E40" t="s">
        <v>3</v>
      </c>
      <c r="F40" t="s">
        <v>4</v>
      </c>
      <c r="G40" t="s">
        <v>5</v>
      </c>
      <c r="H40" t="s">
        <v>6</v>
      </c>
      <c r="I40" t="s">
        <v>7</v>
      </c>
      <c r="J40" t="s">
        <v>8</v>
      </c>
      <c r="K40" t="s">
        <v>9</v>
      </c>
      <c r="L40" t="s">
        <v>10</v>
      </c>
      <c r="M40" t="s">
        <v>11</v>
      </c>
      <c r="O40" t="s">
        <v>24</v>
      </c>
      <c r="P40" t="s">
        <v>25</v>
      </c>
      <c r="Q40" t="s">
        <v>26</v>
      </c>
      <c r="R40" t="s">
        <v>27</v>
      </c>
      <c r="S40" t="s">
        <v>28</v>
      </c>
      <c r="T40" t="s">
        <v>29</v>
      </c>
      <c r="U40" t="s">
        <v>30</v>
      </c>
      <c r="V40" t="s">
        <v>31</v>
      </c>
      <c r="W40" t="s">
        <v>32</v>
      </c>
      <c r="X40" t="s">
        <v>33</v>
      </c>
      <c r="Y40" t="s">
        <v>34</v>
      </c>
      <c r="Z40" t="s">
        <v>35</v>
      </c>
      <c r="AB40" t="s">
        <v>61</v>
      </c>
      <c r="AC40" t="s">
        <v>62</v>
      </c>
      <c r="AD40" t="s">
        <v>63</v>
      </c>
      <c r="AE40" t="s">
        <v>64</v>
      </c>
      <c r="AF40" t="s">
        <v>65</v>
      </c>
      <c r="AG40" t="s">
        <v>66</v>
      </c>
      <c r="AH40" t="s">
        <v>67</v>
      </c>
      <c r="AI40" t="s">
        <v>68</v>
      </c>
      <c r="AJ40" t="s">
        <v>69</v>
      </c>
      <c r="AK40" t="s">
        <v>70</v>
      </c>
      <c r="AL40" t="s">
        <v>71</v>
      </c>
      <c r="AM40" t="s">
        <v>72</v>
      </c>
      <c r="AO40" t="s">
        <v>36</v>
      </c>
      <c r="AP40" t="s">
        <v>37</v>
      </c>
      <c r="AQ40" t="s">
        <v>38</v>
      </c>
      <c r="AR40" t="s">
        <v>39</v>
      </c>
      <c r="AS40" t="s">
        <v>40</v>
      </c>
      <c r="AT40" t="s">
        <v>41</v>
      </c>
      <c r="AU40" t="s">
        <v>42</v>
      </c>
      <c r="AV40" t="s">
        <v>43</v>
      </c>
      <c r="AW40" t="s">
        <v>44</v>
      </c>
      <c r="AX40" t="s">
        <v>45</v>
      </c>
      <c r="AY40" t="s">
        <v>46</v>
      </c>
      <c r="AZ40" t="s">
        <v>47</v>
      </c>
      <c r="BB40" t="s">
        <v>150</v>
      </c>
      <c r="BC40" t="s">
        <v>151</v>
      </c>
      <c r="BD40" t="s">
        <v>152</v>
      </c>
      <c r="BE40" t="s">
        <v>153</v>
      </c>
      <c r="BF40" t="s">
        <v>154</v>
      </c>
      <c r="BG40" t="s">
        <v>155</v>
      </c>
      <c r="BH40" t="s">
        <v>156</v>
      </c>
      <c r="BI40" t="s">
        <v>157</v>
      </c>
      <c r="BJ40" t="s">
        <v>158</v>
      </c>
      <c r="BK40" t="s">
        <v>159</v>
      </c>
      <c r="BL40" t="s">
        <v>160</v>
      </c>
      <c r="BM40" t="s">
        <v>161</v>
      </c>
    </row>
    <row r="41" spans="1:65">
      <c r="B41">
        <f>B2-228</f>
        <v>3794</v>
      </c>
      <c r="C41">
        <f>C2-227</f>
        <v>4644</v>
      </c>
      <c r="D41">
        <f>D2-257</f>
        <v>1499</v>
      </c>
      <c r="E41">
        <f>E2-285</f>
        <v>2334</v>
      </c>
      <c r="F41">
        <f>F2-594</f>
        <v>2719</v>
      </c>
      <c r="G41">
        <f>G2-865</f>
        <v>4319</v>
      </c>
      <c r="H41">
        <f>H2-1174</f>
        <v>6846</v>
      </c>
      <c r="I41">
        <f>I2-1344</f>
        <v>7410</v>
      </c>
      <c r="J41">
        <f>J2-1605</f>
        <v>7336</v>
      </c>
      <c r="K41">
        <f>K2-1788</f>
        <v>6980</v>
      </c>
      <c r="L41">
        <f>L2-2162</f>
        <v>6164.1720000000005</v>
      </c>
      <c r="M41">
        <f>M2-1938</f>
        <v>8986.5130000000008</v>
      </c>
      <c r="O41">
        <f>O2-127</f>
        <v>3318</v>
      </c>
      <c r="P41">
        <f>P2-140</f>
        <v>6969</v>
      </c>
      <c r="Q41">
        <f>Q2-154</f>
        <v>1871</v>
      </c>
      <c r="R41">
        <f>R2-295</f>
        <v>2440</v>
      </c>
      <c r="S41">
        <f>S2-459</f>
        <v>3572</v>
      </c>
      <c r="T41">
        <f>T2-708</f>
        <v>3201</v>
      </c>
      <c r="U41">
        <f>U2-991</f>
        <v>6423</v>
      </c>
      <c r="V41">
        <f>V2-1562</f>
        <v>7445</v>
      </c>
      <c r="W41">
        <f>W2-2266</f>
        <v>8013</v>
      </c>
      <c r="X41">
        <f>X2-3331</f>
        <v>5012</v>
      </c>
      <c r="Y41">
        <f>Y2-3941</f>
        <v>5451</v>
      </c>
      <c r="Z41">
        <f>Z2-3252</f>
        <v>7286</v>
      </c>
      <c r="AB41">
        <f>AB2-264</f>
        <v>2940.0830000000001</v>
      </c>
      <c r="AC41">
        <f>AC2-301</f>
        <v>6180.2879999999996</v>
      </c>
      <c r="AD41">
        <f>AD2-290</f>
        <v>2707.4580000000001</v>
      </c>
      <c r="AE41">
        <f>AE2-392</f>
        <v>2674.0619999999999</v>
      </c>
      <c r="AF41">
        <f>AF2-412</f>
        <v>4222.0060000000003</v>
      </c>
      <c r="AG41">
        <f>AG2-564</f>
        <v>4172.3010000000004</v>
      </c>
      <c r="AH41">
        <f>AH2-733</f>
        <v>6768.1469999999999</v>
      </c>
      <c r="AI41">
        <f>AI2-1168</f>
        <v>6539.8639999999996</v>
      </c>
      <c r="AJ41">
        <f>AJ2-1111</f>
        <v>7883.9760000000006</v>
      </c>
      <c r="AK41">
        <f>AK2-1879</f>
        <v>9146.4050000000007</v>
      </c>
      <c r="AL41">
        <f>AL2-2251</f>
        <v>7488.0439999999999</v>
      </c>
      <c r="AM41">
        <f>AM2-3196</f>
        <v>7331.6900000000005</v>
      </c>
      <c r="AO41">
        <f>AO2-147</f>
        <v>3197</v>
      </c>
      <c r="AP41">
        <f>AP2-181</f>
        <v>6629</v>
      </c>
      <c r="AQ41">
        <f>AQ2-231</f>
        <v>2486</v>
      </c>
      <c r="AR41">
        <f>AR2-303</f>
        <v>2218</v>
      </c>
      <c r="AS41">
        <f>AS2-417</f>
        <v>3031</v>
      </c>
      <c r="AT41">
        <f>AT2-572</f>
        <v>3940</v>
      </c>
      <c r="AU41">
        <f>AU2-896</f>
        <v>4557</v>
      </c>
      <c r="AV41">
        <f>AV2-1310</f>
        <v>5308</v>
      </c>
      <c r="AW41">
        <f>AW2-2226</f>
        <v>5142</v>
      </c>
      <c r="AX41">
        <f>AX2-2199</f>
        <v>4821</v>
      </c>
      <c r="AY41">
        <f>AY2-3029</f>
        <v>5324</v>
      </c>
      <c r="AZ41">
        <f>AZ2-2289</f>
        <v>4904</v>
      </c>
      <c r="BB41">
        <v>3852</v>
      </c>
      <c r="BC41">
        <v>4694</v>
      </c>
      <c r="BD41">
        <v>1558</v>
      </c>
      <c r="BE41">
        <v>2328</v>
      </c>
      <c r="BF41">
        <v>2803</v>
      </c>
      <c r="BG41">
        <v>4375</v>
      </c>
      <c r="BH41">
        <v>6937</v>
      </c>
      <c r="BI41">
        <v>7313</v>
      </c>
      <c r="BJ41">
        <v>7031</v>
      </c>
      <c r="BK41">
        <v>6208</v>
      </c>
      <c r="BL41">
        <v>5052.1720000000005</v>
      </c>
      <c r="BM41">
        <v>8256.5130000000008</v>
      </c>
    </row>
    <row r="42" spans="1:65">
      <c r="B42">
        <f>B3-228</f>
        <v>2825</v>
      </c>
      <c r="C42">
        <f>C3-227</f>
        <v>4151</v>
      </c>
      <c r="D42">
        <f>D3-257</f>
        <v>2425</v>
      </c>
      <c r="E42">
        <f>E3-285</f>
        <v>2496</v>
      </c>
      <c r="F42">
        <f>F3-594</f>
        <v>4165</v>
      </c>
      <c r="G42">
        <f>G3-865</f>
        <v>4960</v>
      </c>
      <c r="H42">
        <f>H3-1174</f>
        <v>7139</v>
      </c>
      <c r="I42">
        <f>I3-1344</f>
        <v>7927</v>
      </c>
      <c r="J42">
        <f>J3-1605</f>
        <v>7255</v>
      </c>
      <c r="K42">
        <f>K3-1788</f>
        <v>8292.81</v>
      </c>
      <c r="L42">
        <f>L3-2162</f>
        <v>10072.223</v>
      </c>
      <c r="M42">
        <f>M3-1938</f>
        <v>6395.6669999999995</v>
      </c>
      <c r="O42">
        <f>O3-127</f>
        <v>3426</v>
      </c>
      <c r="P42">
        <f>P3-140</f>
        <v>7312</v>
      </c>
      <c r="Q42">
        <f>Q3-154</f>
        <v>2261</v>
      </c>
      <c r="R42">
        <f>R3-295</f>
        <v>3065</v>
      </c>
      <c r="S42">
        <f>S3-459</f>
        <v>3876</v>
      </c>
      <c r="T42">
        <f>T3-708</f>
        <v>4369</v>
      </c>
      <c r="U42">
        <f>U3-991</f>
        <v>4471</v>
      </c>
      <c r="V42">
        <f>V3-1562</f>
        <v>6328</v>
      </c>
      <c r="W42">
        <f>W3-2266</f>
        <v>4927</v>
      </c>
      <c r="X42">
        <f>X3-3331</f>
        <v>3488</v>
      </c>
      <c r="Y42">
        <f>Y3-3941</f>
        <v>4251</v>
      </c>
      <c r="Z42">
        <f>Z3-3252</f>
        <v>7516</v>
      </c>
      <c r="AB42">
        <f>AB3-264</f>
        <v>2747.4969999999998</v>
      </c>
      <c r="AC42">
        <f>AC3-301</f>
        <v>3847.9579999999996</v>
      </c>
      <c r="AD42">
        <f>AD3-290</f>
        <v>2015.7730000000001</v>
      </c>
      <c r="AE42">
        <f>AE3-392</f>
        <v>2478.0419999999999</v>
      </c>
      <c r="AF42">
        <f>AF3-412</f>
        <v>1285.5119999999999</v>
      </c>
      <c r="AG42">
        <f>AG3-564</f>
        <v>4122.6229999999996</v>
      </c>
      <c r="AH42">
        <f>AH3-733</f>
        <v>4092.7240000000002</v>
      </c>
      <c r="AI42">
        <f>AI3-1168</f>
        <v>6723.5959999999995</v>
      </c>
      <c r="AJ42">
        <f>AJ3-1111</f>
        <v>7423.4339999999993</v>
      </c>
      <c r="AK42">
        <f>AK3-1879</f>
        <v>9521.9490000000005</v>
      </c>
      <c r="AL42">
        <f>AL3-2251</f>
        <v>9446.4210000000003</v>
      </c>
      <c r="AM42">
        <f>AM3-3196</f>
        <v>7503.3269999999993</v>
      </c>
      <c r="AO42">
        <f>AO3-147</f>
        <v>2840</v>
      </c>
      <c r="AP42">
        <f>AP3-181</f>
        <v>6456</v>
      </c>
      <c r="AQ42">
        <f>AQ3-231</f>
        <v>1434</v>
      </c>
      <c r="AR42">
        <f>AR3-303</f>
        <v>3393</v>
      </c>
      <c r="AS42">
        <f>AS3-417</f>
        <v>2246</v>
      </c>
      <c r="AT42">
        <f>AT3-572</f>
        <v>2606</v>
      </c>
      <c r="AU42">
        <f>AU3-896</f>
        <v>4814</v>
      </c>
      <c r="AV42">
        <f>AV3-1310</f>
        <v>5639</v>
      </c>
      <c r="AW42">
        <f>AW3-2226</f>
        <v>7166</v>
      </c>
      <c r="AX42">
        <f>AX3-2199</f>
        <v>4612</v>
      </c>
      <c r="AY42">
        <f>AY3-3029</f>
        <v>5009</v>
      </c>
      <c r="AZ42">
        <f>AZ3-2289</f>
        <v>5454</v>
      </c>
      <c r="BB42">
        <v>2883</v>
      </c>
      <c r="BC42">
        <v>4201</v>
      </c>
      <c r="BD42">
        <v>2484</v>
      </c>
      <c r="BE42">
        <v>2490</v>
      </c>
      <c r="BF42">
        <v>4249</v>
      </c>
      <c r="BG42">
        <v>5016</v>
      </c>
      <c r="BH42">
        <v>7230</v>
      </c>
      <c r="BI42">
        <v>7830</v>
      </c>
      <c r="BJ42">
        <v>6950</v>
      </c>
      <c r="BK42">
        <v>7520.8099999999995</v>
      </c>
      <c r="BL42">
        <v>8960.223</v>
      </c>
      <c r="BM42">
        <v>5665.6669999999995</v>
      </c>
    </row>
    <row r="43" spans="1:65">
      <c r="B43">
        <f>B4-228</f>
        <v>2979</v>
      </c>
      <c r="C43">
        <f>C4-227</f>
        <v>5368</v>
      </c>
      <c r="D43">
        <f>D4-257</f>
        <v>1767</v>
      </c>
      <c r="E43">
        <f>E4-285</f>
        <v>2411</v>
      </c>
      <c r="F43">
        <f>F4-594</f>
        <v>3261</v>
      </c>
      <c r="G43">
        <f>G4-865</f>
        <v>4892</v>
      </c>
      <c r="H43">
        <f>H4-1174</f>
        <v>6247</v>
      </c>
      <c r="I43">
        <f>I4-1344</f>
        <v>6995</v>
      </c>
      <c r="J43">
        <f>J4-1605</f>
        <v>7583</v>
      </c>
      <c r="K43">
        <f>K4-1788</f>
        <v>7667.8230000000003</v>
      </c>
      <c r="L43">
        <f>L4-2162</f>
        <v>7485.24</v>
      </c>
      <c r="M43">
        <f>M4-1938</f>
        <v>6245.1310000000003</v>
      </c>
      <c r="O43">
        <f>O4-127</f>
        <v>2849</v>
      </c>
      <c r="P43">
        <f>P4-140</f>
        <v>6039</v>
      </c>
      <c r="Q43">
        <f>Q4-154</f>
        <v>2278</v>
      </c>
      <c r="R43">
        <f>R4-295</f>
        <v>2388</v>
      </c>
      <c r="S43">
        <f>S4-459</f>
        <v>3440</v>
      </c>
      <c r="T43">
        <f>T4-708</f>
        <v>4324</v>
      </c>
      <c r="U43">
        <f>U4-991</f>
        <v>5532</v>
      </c>
      <c r="V43">
        <f>V4-1562</f>
        <v>7111</v>
      </c>
      <c r="W43">
        <f>W4-2266</f>
        <v>5425</v>
      </c>
      <c r="X43">
        <f>X4-3331</f>
        <v>5511</v>
      </c>
      <c r="Y43">
        <f>Y4-3941</f>
        <v>5675</v>
      </c>
      <c r="Z43">
        <f>Z4-3252</f>
        <v>5440</v>
      </c>
      <c r="AE43">
        <f>AE4-392</f>
        <v>2366.7269999999999</v>
      </c>
      <c r="AG43">
        <f>AG4-564</f>
        <v>3979.2690000000002</v>
      </c>
      <c r="AH43">
        <f>AH4-733</f>
        <v>5406.9539999999997</v>
      </c>
      <c r="AI43">
        <f>AI4-1168</f>
        <v>7051.3629999999994</v>
      </c>
      <c r="AJ43">
        <f>AJ4-1111</f>
        <v>9572.8080000000009</v>
      </c>
      <c r="AK43">
        <f>AK4-1879</f>
        <v>10051.503000000001</v>
      </c>
      <c r="AL43">
        <f>AL4-2251</f>
        <v>6941.7240000000002</v>
      </c>
      <c r="AM43">
        <f>AM4-3196</f>
        <v>6140.3169999999991</v>
      </c>
      <c r="AO43">
        <f>AO4-147</f>
        <v>2096</v>
      </c>
      <c r="AP43">
        <f>AP4-181</f>
        <v>3809</v>
      </c>
      <c r="AQ43">
        <f>AQ4-231</f>
        <v>2012</v>
      </c>
      <c r="AR43">
        <f>AR4-303</f>
        <v>2525</v>
      </c>
      <c r="AS43">
        <f>AS4-417</f>
        <v>2504</v>
      </c>
      <c r="AT43">
        <f>AT4-572</f>
        <v>4227</v>
      </c>
      <c r="AU43">
        <f>AU4-896</f>
        <v>5310</v>
      </c>
      <c r="AV43">
        <f>AV4-1310</f>
        <v>5934</v>
      </c>
      <c r="AW43">
        <f>AW4-2226</f>
        <v>8075</v>
      </c>
      <c r="AX43">
        <f>AX4-2199</f>
        <v>4582</v>
      </c>
      <c r="AY43">
        <f>AY4-3029</f>
        <v>4718</v>
      </c>
      <c r="AZ43">
        <f>AZ4-2289</f>
        <v>5325</v>
      </c>
      <c r="BB43">
        <v>3037</v>
      </c>
      <c r="BC43">
        <v>5418</v>
      </c>
      <c r="BD43">
        <v>1826</v>
      </c>
      <c r="BE43">
        <v>2405</v>
      </c>
      <c r="BF43">
        <v>3345</v>
      </c>
      <c r="BG43">
        <v>4948</v>
      </c>
      <c r="BH43">
        <v>6338</v>
      </c>
      <c r="BI43">
        <v>6898</v>
      </c>
      <c r="BJ43">
        <v>7278</v>
      </c>
      <c r="BK43">
        <v>6895.8230000000003</v>
      </c>
      <c r="BL43">
        <v>6373.24</v>
      </c>
      <c r="BM43">
        <v>5515.1310000000003</v>
      </c>
    </row>
    <row r="44" spans="1:65">
      <c r="B44">
        <f>B5-228</f>
        <v>4050</v>
      </c>
      <c r="C44">
        <f>C5-227</f>
        <v>4454</v>
      </c>
      <c r="D44">
        <f>D5-257</f>
        <v>2231</v>
      </c>
      <c r="E44">
        <f>E5-285</f>
        <v>2087</v>
      </c>
      <c r="F44">
        <f>F5-594</f>
        <v>2435</v>
      </c>
      <c r="G44">
        <f>G5-865</f>
        <v>5160</v>
      </c>
      <c r="H44">
        <f>H5-1174</f>
        <v>5069</v>
      </c>
      <c r="I44">
        <f>I5-1344</f>
        <v>6586</v>
      </c>
      <c r="J44">
        <f>J5-1605</f>
        <v>6684</v>
      </c>
      <c r="K44">
        <f>K5-1788</f>
        <v>9007</v>
      </c>
      <c r="M44">
        <f>M5-1938</f>
        <v>9892.6110000000008</v>
      </c>
      <c r="O44">
        <f>O5-127</f>
        <v>2596</v>
      </c>
      <c r="P44">
        <f>P5-140</f>
        <v>5918</v>
      </c>
      <c r="Q44">
        <f>Q5-154</f>
        <v>1642</v>
      </c>
      <c r="R44">
        <f>R5-295</f>
        <v>2093</v>
      </c>
      <c r="S44">
        <f>S5-459</f>
        <v>3868</v>
      </c>
      <c r="T44">
        <f>T5-708</f>
        <v>4312</v>
      </c>
      <c r="U44">
        <f>U5-991</f>
        <v>5745</v>
      </c>
      <c r="V44">
        <f>V5-1562</f>
        <v>6691</v>
      </c>
      <c r="W44">
        <f>W5-2266</f>
        <v>7189</v>
      </c>
      <c r="X44">
        <f>X5-3331</f>
        <v>5811</v>
      </c>
      <c r="Y44">
        <f>Y5-3941</f>
        <v>4799</v>
      </c>
      <c r="Z44">
        <f>Z5-3252</f>
        <v>7625</v>
      </c>
      <c r="AI44">
        <f>AI5-1168</f>
        <v>6435.2079999999996</v>
      </c>
      <c r="AJ44">
        <f>AJ5-1111</f>
        <v>7819.8109999999997</v>
      </c>
      <c r="AK44">
        <f>AK5-1879</f>
        <v>8961.9240000000009</v>
      </c>
      <c r="AO44">
        <f>AO5-147</f>
        <v>2190</v>
      </c>
      <c r="AP44">
        <f>AP5-181</f>
        <v>4797</v>
      </c>
      <c r="AQ44">
        <f>AQ5-231</f>
        <v>1630</v>
      </c>
      <c r="AR44">
        <f>AR5-303</f>
        <v>1759</v>
      </c>
      <c r="AS44">
        <f>AS5-417</f>
        <v>1583</v>
      </c>
      <c r="AT44">
        <f>AT5-572</f>
        <v>3940</v>
      </c>
      <c r="AU44">
        <f>AU5-896</f>
        <v>3762</v>
      </c>
      <c r="AV44">
        <f>AV5-1310</f>
        <v>8435</v>
      </c>
      <c r="AW44">
        <f>AW5-2226</f>
        <v>5926</v>
      </c>
      <c r="AX44">
        <f>AX5-2199</f>
        <v>4050</v>
      </c>
      <c r="AY44">
        <f>AY5-3029</f>
        <v>4756</v>
      </c>
      <c r="BB44">
        <v>4108</v>
      </c>
      <c r="BC44">
        <v>4504</v>
      </c>
      <c r="BD44">
        <v>2290</v>
      </c>
      <c r="BE44">
        <v>2081</v>
      </c>
      <c r="BF44">
        <v>2519</v>
      </c>
      <c r="BG44">
        <v>5216</v>
      </c>
      <c r="BH44">
        <v>5160</v>
      </c>
      <c r="BI44">
        <v>6489</v>
      </c>
      <c r="BJ44">
        <v>6379</v>
      </c>
      <c r="BK44">
        <v>8235</v>
      </c>
      <c r="BL44">
        <v>6118</v>
      </c>
      <c r="BM44">
        <v>9162.6110000000008</v>
      </c>
    </row>
    <row r="45" spans="1:65">
      <c r="B45">
        <f>B6-228</f>
        <v>2544</v>
      </c>
      <c r="C45">
        <f>C6-227</f>
        <v>6039</v>
      </c>
      <c r="F45">
        <f>F6-594</f>
        <v>2543</v>
      </c>
      <c r="G45">
        <f>G6-865</f>
        <v>2937</v>
      </c>
      <c r="H45">
        <f>H6-1174</f>
        <v>7154</v>
      </c>
      <c r="I45">
        <f>I6-1344</f>
        <v>5972</v>
      </c>
      <c r="J45">
        <f>J6-1605</f>
        <v>7795</v>
      </c>
      <c r="K45">
        <f>K6-1788</f>
        <v>7974.4760000000006</v>
      </c>
      <c r="M45">
        <f>M6-1938</f>
        <v>5418.2389999999996</v>
      </c>
      <c r="P45">
        <f>P6-140</f>
        <v>5909</v>
      </c>
      <c r="Q45">
        <f>Q6-154</f>
        <v>1971</v>
      </c>
      <c r="R45">
        <f>R6-295</f>
        <v>2217</v>
      </c>
      <c r="S45">
        <f>S6-459</f>
        <v>1894</v>
      </c>
      <c r="T45">
        <f>T6-708</f>
        <v>3805</v>
      </c>
      <c r="U45">
        <f>U6-991</f>
        <v>5772</v>
      </c>
      <c r="W45">
        <f>W6-2266</f>
        <v>5766</v>
      </c>
      <c r="X45">
        <f>X6-3331</f>
        <v>6403</v>
      </c>
      <c r="Y45">
        <f>Y6-3941</f>
        <v>5197</v>
      </c>
      <c r="AJ45">
        <f>AJ6-1111</f>
        <v>6565.3509999999997</v>
      </c>
      <c r="AK45">
        <f>AK6-1879</f>
        <v>8272.66</v>
      </c>
      <c r="AT45">
        <f>AT6-572</f>
        <v>2535</v>
      </c>
      <c r="AU45">
        <f>AU6-896</f>
        <v>4002</v>
      </c>
      <c r="AV45">
        <f>AV6-1310</f>
        <v>6015</v>
      </c>
      <c r="AW45">
        <f>AW6-2226</f>
        <v>9070</v>
      </c>
      <c r="AX45">
        <f>AX6-2199</f>
        <v>6367</v>
      </c>
      <c r="AY45">
        <f>AY6-3029</f>
        <v>5063</v>
      </c>
      <c r="BB45">
        <v>2602</v>
      </c>
      <c r="BC45">
        <v>6089</v>
      </c>
      <c r="BD45">
        <v>1827</v>
      </c>
      <c r="BE45">
        <v>2444</v>
      </c>
      <c r="BF45">
        <v>2627</v>
      </c>
      <c r="BG45">
        <v>2993</v>
      </c>
      <c r="BH45">
        <v>7245</v>
      </c>
      <c r="BI45">
        <v>5875</v>
      </c>
      <c r="BJ45">
        <v>7490</v>
      </c>
      <c r="BK45">
        <v>7202.4760000000006</v>
      </c>
      <c r="BL45">
        <v>4918</v>
      </c>
      <c r="BM45">
        <v>4688.2389999999996</v>
      </c>
    </row>
    <row r="46" spans="1:65">
      <c r="B46">
        <f>B7-228</f>
        <v>2094</v>
      </c>
      <c r="C46">
        <f>C7-227</f>
        <v>6447</v>
      </c>
      <c r="G46">
        <f>G7-865</f>
        <v>4200</v>
      </c>
      <c r="H46">
        <f>H7-1174</f>
        <v>4120</v>
      </c>
      <c r="I46">
        <f>I7-1344</f>
        <v>7594</v>
      </c>
      <c r="J46">
        <f>J7-1605</f>
        <v>6417</v>
      </c>
      <c r="K46">
        <f>K7-1788</f>
        <v>9536.4320000000007</v>
      </c>
      <c r="M46">
        <f>M7-1938</f>
        <v>9699.2180000000008</v>
      </c>
      <c r="P46">
        <f>P7-140</f>
        <v>5411</v>
      </c>
      <c r="Q46">
        <f>Q7-154</f>
        <v>1764</v>
      </c>
      <c r="R46">
        <f>R7-295</f>
        <v>2914</v>
      </c>
      <c r="S46">
        <f>S7-459</f>
        <v>2233</v>
      </c>
      <c r="T46">
        <f>T7-708</f>
        <v>4871</v>
      </c>
      <c r="U46">
        <f>U7-991</f>
        <v>5960</v>
      </c>
      <c r="W46">
        <f>W7-2266</f>
        <v>7444</v>
      </c>
      <c r="X46">
        <f>X7-3331</f>
        <v>6137</v>
      </c>
      <c r="Y46">
        <f>Y7-3941</f>
        <v>4802</v>
      </c>
      <c r="AK46">
        <f>AK7-1879</f>
        <v>8095.8089999999993</v>
      </c>
      <c r="AT46">
        <f>AT7-572</f>
        <v>2688</v>
      </c>
      <c r="AU46">
        <f>AU7-896</f>
        <v>5281</v>
      </c>
      <c r="AV46">
        <f>AV7-1310</f>
        <v>8700</v>
      </c>
      <c r="AW46">
        <f>AW7-2226</f>
        <v>5456</v>
      </c>
      <c r="AX46">
        <f>AX7-2199</f>
        <v>6180</v>
      </c>
      <c r="BB46">
        <v>2152</v>
      </c>
      <c r="BC46">
        <v>6497</v>
      </c>
      <c r="BD46">
        <v>2217</v>
      </c>
      <c r="BE46">
        <v>3069</v>
      </c>
      <c r="BF46">
        <v>3521</v>
      </c>
      <c r="BG46">
        <v>4256</v>
      </c>
      <c r="BH46">
        <v>4211</v>
      </c>
      <c r="BI46">
        <v>7497</v>
      </c>
      <c r="BJ46">
        <v>6112</v>
      </c>
      <c r="BK46">
        <v>8764.4320000000007</v>
      </c>
      <c r="BL46">
        <v>6342</v>
      </c>
      <c r="BM46">
        <v>8969.2180000000008</v>
      </c>
    </row>
    <row r="47" spans="1:65">
      <c r="G47">
        <f>G8-865</f>
        <v>3981</v>
      </c>
      <c r="H47">
        <f>H8-1174</f>
        <v>5076</v>
      </c>
      <c r="I47">
        <f>I8-1344</f>
        <v>5799</v>
      </c>
      <c r="J47">
        <f>J8-1605</f>
        <v>7630.58</v>
      </c>
      <c r="K47">
        <f>K8-1788</f>
        <v>7538.6489999999994</v>
      </c>
      <c r="P47">
        <f>P8-140</f>
        <v>4848</v>
      </c>
      <c r="R47">
        <f>R8-295</f>
        <v>1890</v>
      </c>
      <c r="S47">
        <f>S8-459</f>
        <v>1744</v>
      </c>
      <c r="T47">
        <f>T8-708</f>
        <v>3449</v>
      </c>
      <c r="U47">
        <f>U8-991</f>
        <v>5593</v>
      </c>
      <c r="W47">
        <f>W8-2266</f>
        <v>6191</v>
      </c>
      <c r="X47">
        <f>X8-3331</f>
        <v>5566</v>
      </c>
      <c r="AV47">
        <f>AV8-1310</f>
        <v>9579</v>
      </c>
      <c r="BB47">
        <v>3275</v>
      </c>
      <c r="BC47">
        <v>6932</v>
      </c>
      <c r="BD47">
        <v>2234</v>
      </c>
      <c r="BE47">
        <v>2392</v>
      </c>
      <c r="BF47">
        <v>3825</v>
      </c>
      <c r="BG47">
        <v>4037</v>
      </c>
      <c r="BH47">
        <v>5167</v>
      </c>
      <c r="BI47">
        <v>5702</v>
      </c>
      <c r="BJ47">
        <v>7325.58</v>
      </c>
      <c r="BK47">
        <v>6766.6489999999994</v>
      </c>
      <c r="BL47">
        <v>5466</v>
      </c>
      <c r="BM47">
        <v>7870</v>
      </c>
    </row>
    <row r="48" spans="1:65">
      <c r="I48">
        <f>I9-1344</f>
        <v>8501</v>
      </c>
      <c r="P48">
        <f>P9-140</f>
        <v>4243</v>
      </c>
      <c r="T48">
        <f>T9-708</f>
        <v>3826</v>
      </c>
      <c r="W48">
        <f>W9-2266</f>
        <v>6470</v>
      </c>
      <c r="AV48">
        <f>AV9-1310</f>
        <v>5442</v>
      </c>
      <c r="BB48">
        <v>3383</v>
      </c>
      <c r="BC48">
        <v>7275</v>
      </c>
      <c r="BD48">
        <v>1598</v>
      </c>
      <c r="BE48">
        <v>2097</v>
      </c>
      <c r="BF48">
        <v>3389</v>
      </c>
      <c r="BG48">
        <v>3100</v>
      </c>
      <c r="BH48">
        <v>6331</v>
      </c>
      <c r="BI48">
        <v>8404</v>
      </c>
      <c r="BJ48">
        <v>8369</v>
      </c>
      <c r="BK48">
        <v>5783</v>
      </c>
      <c r="BL48">
        <v>5864</v>
      </c>
      <c r="BM48">
        <v>8100</v>
      </c>
    </row>
    <row r="49" spans="1:65">
      <c r="I49">
        <f>I10-1344</f>
        <v>6154</v>
      </c>
      <c r="P49">
        <f>P10-140</f>
        <v>5787</v>
      </c>
      <c r="W49">
        <f>W10-2266</f>
        <v>5316</v>
      </c>
      <c r="BB49">
        <v>2806</v>
      </c>
      <c r="BC49">
        <v>6002</v>
      </c>
      <c r="BD49">
        <v>1927</v>
      </c>
      <c r="BE49">
        <v>2221</v>
      </c>
      <c r="BF49">
        <v>3817</v>
      </c>
      <c r="BG49">
        <v>4268</v>
      </c>
      <c r="BH49">
        <v>4379</v>
      </c>
      <c r="BI49">
        <v>6057</v>
      </c>
      <c r="BJ49">
        <v>5283</v>
      </c>
      <c r="BK49">
        <v>4259</v>
      </c>
      <c r="BL49">
        <v>5469</v>
      </c>
      <c r="BM49">
        <v>6024</v>
      </c>
    </row>
    <row r="50" spans="1:65">
      <c r="I50">
        <f>I11-1344</f>
        <v>6469</v>
      </c>
      <c r="W50">
        <f>W11-2266</f>
        <v>6133</v>
      </c>
      <c r="BB50">
        <v>2553</v>
      </c>
      <c r="BC50">
        <v>5881</v>
      </c>
      <c r="BD50">
        <v>1720</v>
      </c>
      <c r="BE50">
        <v>2918</v>
      </c>
      <c r="BF50">
        <v>1843</v>
      </c>
      <c r="BG50">
        <v>4223</v>
      </c>
      <c r="BH50">
        <v>5440</v>
      </c>
      <c r="BI50">
        <v>6372</v>
      </c>
      <c r="BJ50">
        <v>5781</v>
      </c>
      <c r="BK50">
        <v>6282</v>
      </c>
      <c r="BM50">
        <v>8209</v>
      </c>
    </row>
    <row r="51" spans="1:65">
      <c r="BC51">
        <v>5872</v>
      </c>
      <c r="BE51">
        <v>1894</v>
      </c>
      <c r="BF51">
        <v>2182</v>
      </c>
      <c r="BG51">
        <v>4211</v>
      </c>
      <c r="BH51">
        <v>5653</v>
      </c>
      <c r="BI51">
        <v>7566</v>
      </c>
      <c r="BJ51">
        <v>7545</v>
      </c>
      <c r="BK51">
        <v>6582</v>
      </c>
    </row>
    <row r="52" spans="1:65">
      <c r="BC52">
        <v>5374</v>
      </c>
      <c r="BF52">
        <v>1693</v>
      </c>
      <c r="BG52">
        <v>3704</v>
      </c>
      <c r="BH52">
        <v>5680</v>
      </c>
      <c r="BI52">
        <v>6449</v>
      </c>
      <c r="BJ52">
        <v>6122</v>
      </c>
      <c r="BK52">
        <v>7174</v>
      </c>
    </row>
    <row r="53" spans="1:65">
      <c r="BC53">
        <v>4811</v>
      </c>
      <c r="BG53">
        <v>4770</v>
      </c>
      <c r="BH53">
        <v>5868</v>
      </c>
      <c r="BI53">
        <v>7232</v>
      </c>
      <c r="BJ53">
        <v>7800</v>
      </c>
      <c r="BK53">
        <v>6908</v>
      </c>
    </row>
    <row r="54" spans="1:65">
      <c r="BC54">
        <v>4206</v>
      </c>
      <c r="BG54">
        <v>3348</v>
      </c>
      <c r="BH54">
        <v>5501</v>
      </c>
      <c r="BI54">
        <v>6812</v>
      </c>
      <c r="BJ54">
        <v>6547</v>
      </c>
      <c r="BK54">
        <v>6337</v>
      </c>
    </row>
    <row r="55" spans="1:65">
      <c r="BC55">
        <v>5750</v>
      </c>
      <c r="BG55">
        <v>3725</v>
      </c>
      <c r="BJ55">
        <v>6826</v>
      </c>
    </row>
    <row r="56" spans="1:65">
      <c r="BJ56">
        <v>5672</v>
      </c>
    </row>
    <row r="57" spans="1:65">
      <c r="BJ57">
        <v>6489</v>
      </c>
    </row>
    <row r="59" spans="1:65">
      <c r="A59" t="s">
        <v>12</v>
      </c>
      <c r="B59">
        <f>AVERAGE(B41:B57)</f>
        <v>3047.6666666666665</v>
      </c>
      <c r="C59">
        <f>AVERAGE(C41:C57)</f>
        <v>5183.833333333333</v>
      </c>
      <c r="D59">
        <f>AVERAGE(D41:D57)</f>
        <v>1980.5</v>
      </c>
      <c r="E59">
        <f>AVERAGE(E41:E57)</f>
        <v>2332</v>
      </c>
      <c r="F59">
        <f>AVERAGE(F41:F57)</f>
        <v>3024.6</v>
      </c>
      <c r="G59">
        <f>AVERAGE(G41:G57)</f>
        <v>4349.8571428571431</v>
      </c>
      <c r="H59">
        <f>AVERAGE(H41:H57)</f>
        <v>5950.1428571428569</v>
      </c>
      <c r="I59">
        <f>AVERAGE(I41:I57)</f>
        <v>6940.7</v>
      </c>
      <c r="J59">
        <f>AVERAGE(J41:J57)</f>
        <v>7242.9400000000005</v>
      </c>
      <c r="K59">
        <f>AVERAGE(K41:K57)</f>
        <v>8142.4557142857147</v>
      </c>
      <c r="L59">
        <f>AVERAGE(L41:L57)</f>
        <v>7907.211666666667</v>
      </c>
      <c r="M59">
        <f>AVERAGE(M41:M57)</f>
        <v>7772.8964999999998</v>
      </c>
      <c r="O59">
        <f>AVERAGE(O41:O57)</f>
        <v>3047.25</v>
      </c>
      <c r="P59">
        <f>AVERAGE(P41:P57)</f>
        <v>5826.2222222222226</v>
      </c>
      <c r="Q59">
        <f>AVERAGE(Q41:Q57)</f>
        <v>1964.5</v>
      </c>
      <c r="R59">
        <f>AVERAGE(R41:R57)</f>
        <v>2429.5714285714284</v>
      </c>
      <c r="S59">
        <f>AVERAGE(S41:S57)</f>
        <v>2946.7142857142858</v>
      </c>
      <c r="T59">
        <f>AVERAGE(T41:T57)</f>
        <v>4019.625</v>
      </c>
      <c r="U59">
        <f>AVERAGE(U41:U57)</f>
        <v>5642.2857142857147</v>
      </c>
      <c r="V59">
        <f>AVERAGE(V41:V57)</f>
        <v>6893.75</v>
      </c>
      <c r="W59">
        <f>AVERAGE(W41:W57)</f>
        <v>6287.4</v>
      </c>
      <c r="X59">
        <f>AVERAGE(X41:X57)</f>
        <v>5418.2857142857147</v>
      </c>
      <c r="Y59">
        <f>AVERAGE(Y41:Y57)</f>
        <v>5029.166666666667</v>
      </c>
      <c r="Z59">
        <f>AVERAGE(Z41:Z57)</f>
        <v>6966.75</v>
      </c>
      <c r="AB59">
        <f>AVERAGE(AB41:AB57)</f>
        <v>2843.79</v>
      </c>
      <c r="AC59">
        <f>AVERAGE(AC41:AC57)</f>
        <v>5014.1229999999996</v>
      </c>
      <c r="AD59">
        <f>AVERAGE(AD41:AD57)</f>
        <v>2361.6154999999999</v>
      </c>
      <c r="AE59">
        <f>AVERAGE(AE41:AE57)</f>
        <v>2506.2769999999996</v>
      </c>
      <c r="AF59">
        <f>AVERAGE(AF41:AF57)</f>
        <v>2753.759</v>
      </c>
      <c r="AG59">
        <f>AVERAGE(AG41:AG57)</f>
        <v>4091.3976666666663</v>
      </c>
      <c r="AH59">
        <f>AVERAGE(AH41:AH57)</f>
        <v>5422.6083333333327</v>
      </c>
      <c r="AI59">
        <f>AVERAGE(AI41:AI57)</f>
        <v>6687.5077499999989</v>
      </c>
      <c r="AJ59">
        <f>AVERAGE(AJ41:AJ57)</f>
        <v>7853.0760000000009</v>
      </c>
      <c r="AK59">
        <f>AVERAGE(AK41:AK57)</f>
        <v>9008.3750000000018</v>
      </c>
      <c r="AL59">
        <f>AVERAGE(AL41:AL57)</f>
        <v>7958.7296666666662</v>
      </c>
      <c r="AM59">
        <f>AVERAGE(AM41:AM57)</f>
        <v>6991.7779999999993</v>
      </c>
      <c r="AO59">
        <f>AVERAGE(AO41:AO57)</f>
        <v>2580.75</v>
      </c>
      <c r="AP59">
        <f>AVERAGE(AP41:AP57)</f>
        <v>5422.75</v>
      </c>
      <c r="AQ59">
        <f>AVERAGE(AQ41:AQ57)</f>
        <v>1890.5</v>
      </c>
      <c r="AR59">
        <f>AVERAGE(AR41:AR57)</f>
        <v>2473.75</v>
      </c>
      <c r="AS59">
        <f>AVERAGE(AS41:AS57)</f>
        <v>2341</v>
      </c>
      <c r="AT59">
        <f>AVERAGE(AT41:AT57)</f>
        <v>3322.6666666666665</v>
      </c>
      <c r="AU59">
        <f>AVERAGE(AU41:AU57)</f>
        <v>4621</v>
      </c>
      <c r="AV59">
        <f>AVERAGE(AV41:AV57)</f>
        <v>6881.5</v>
      </c>
      <c r="AW59">
        <f>AVERAGE(AW41:AW57)</f>
        <v>6805.833333333333</v>
      </c>
      <c r="AX59">
        <f>AVERAGE(AX41:AX57)</f>
        <v>5102</v>
      </c>
      <c r="AY59">
        <f>AVERAGE(AY41:AY57)</f>
        <v>4974</v>
      </c>
      <c r="AZ59">
        <f>AVERAGE(AZ41:AZ57)</f>
        <v>5227.666666666667</v>
      </c>
      <c r="BB59">
        <f t="shared" ref="BA59:BM59" si="1">AVERAGE(BB41:BB57)</f>
        <v>3065.1</v>
      </c>
      <c r="BC59">
        <f t="shared" si="1"/>
        <v>5567.0666666666666</v>
      </c>
      <c r="BD59">
        <f t="shared" si="1"/>
        <v>1968.1</v>
      </c>
      <c r="BE59">
        <f t="shared" si="1"/>
        <v>2394.4545454545455</v>
      </c>
      <c r="BF59">
        <f t="shared" si="1"/>
        <v>2984.4166666666665</v>
      </c>
      <c r="BG59">
        <f t="shared" si="1"/>
        <v>4146</v>
      </c>
      <c r="BH59">
        <f t="shared" si="1"/>
        <v>5795.7142857142853</v>
      </c>
      <c r="BI59">
        <f t="shared" si="1"/>
        <v>6892.5714285714284</v>
      </c>
      <c r="BJ59">
        <f t="shared" si="1"/>
        <v>6764.6811764705881</v>
      </c>
      <c r="BK59">
        <f t="shared" si="1"/>
        <v>6779.8707142857147</v>
      </c>
      <c r="BL59">
        <f t="shared" si="1"/>
        <v>6062.5150000000003</v>
      </c>
      <c r="BM59">
        <f t="shared" si="1"/>
        <v>7246.0379000000003</v>
      </c>
    </row>
    <row r="60" spans="1:65">
      <c r="A60" t="s">
        <v>13</v>
      </c>
      <c r="B60">
        <f>STDEV(B41:B57)</f>
        <v>745.53891022981975</v>
      </c>
      <c r="C60">
        <f>STDEV(C41:C57)</f>
        <v>922.13218502916857</v>
      </c>
      <c r="D60">
        <f>STDEV(D41:D57)</f>
        <v>423.38123088614435</v>
      </c>
      <c r="E60">
        <f>STDEV(E41:E57)</f>
        <v>176.22523466669958</v>
      </c>
      <c r="F60">
        <f>STDEV(F41:F57)</f>
        <v>712.27719323308452</v>
      </c>
      <c r="G60">
        <f>STDEV(G41:G57)</f>
        <v>761.37538454462469</v>
      </c>
      <c r="H60">
        <f>STDEV(H41:H57)</f>
        <v>1200.2290654386816</v>
      </c>
      <c r="I60">
        <f>STDEV(I41:I57)</f>
        <v>898.54104586886501</v>
      </c>
      <c r="J60">
        <f>STDEV(J41:J57)</f>
        <v>512.19661446232408</v>
      </c>
      <c r="K60">
        <f>STDEV(K41:K57)</f>
        <v>883.42065783157454</v>
      </c>
      <c r="L60">
        <f>STDEV(L41:L57)</f>
        <v>1987.9035993358229</v>
      </c>
      <c r="M60">
        <f>STDEV(M41:M57)</f>
        <v>1972.4101780771423</v>
      </c>
      <c r="O60">
        <f>STDEV(O41:O57)</f>
        <v>391.44465338878581</v>
      </c>
      <c r="P60">
        <f>STDEV(P41:P57)</f>
        <v>949.4396739363948</v>
      </c>
      <c r="Q60">
        <f>STDEV(Q41:Q57)</f>
        <v>260.45556242860317</v>
      </c>
      <c r="R60">
        <f>STDEV(R41:R57)</f>
        <v>426.20060110346247</v>
      </c>
      <c r="S60">
        <f>STDEV(S41:S57)</f>
        <v>949.62882473201296</v>
      </c>
      <c r="T60">
        <f>STDEV(T41:T57)</f>
        <v>548.28875017770383</v>
      </c>
      <c r="U60">
        <f>STDEV(U41:U57)</f>
        <v>595.02596982140608</v>
      </c>
      <c r="V60">
        <f>STDEV(V41:V57)</f>
        <v>487.25583629136759</v>
      </c>
      <c r="W60">
        <f>STDEV(W41:W57)</f>
        <v>1000.2596551784817</v>
      </c>
      <c r="X60">
        <f>STDEV(X41:X57)</f>
        <v>962.80176469262813</v>
      </c>
      <c r="Y60">
        <f>STDEV(Y41:Y57)</f>
        <v>516.39845726596297</v>
      </c>
      <c r="Z60">
        <f>STDEV(Z41:Z57)</f>
        <v>1027.5950483207544</v>
      </c>
      <c r="AB60">
        <f>STDEV(AB41:AB57)</f>
        <v>136.17886656159263</v>
      </c>
      <c r="AC60">
        <f>STDEV(AC41:AC57)</f>
        <v>1649.2063589648228</v>
      </c>
      <c r="AD60">
        <f>STDEV(AD41:AD57)</f>
        <v>489.09515394501835</v>
      </c>
      <c r="AE60">
        <f>STDEV(AE41:AE57)</f>
        <v>155.6008096861967</v>
      </c>
      <c r="AF60">
        <f>STDEV(AF41:AF57)</f>
        <v>2076.4148203136101</v>
      </c>
      <c r="AG60">
        <f>STDEV(AG41:AG57)</f>
        <v>100.23275082194107</v>
      </c>
      <c r="AH60">
        <f>STDEV(AH41:AH57)</f>
        <v>1337.7801952661459</v>
      </c>
      <c r="AI60">
        <f>STDEV(AI41:AI57)</f>
        <v>270.27568980872712</v>
      </c>
      <c r="AJ60">
        <f>STDEV(AJ41:AJ57)</f>
        <v>1095.7152282685013</v>
      </c>
      <c r="AK60">
        <f>STDEV(AK41:AK57)</f>
        <v>741.23377145702193</v>
      </c>
      <c r="AL60">
        <f>STDEV(AL41:AL57)</f>
        <v>1317.0176585970109</v>
      </c>
      <c r="AM60">
        <f>STDEV(AM41:AM57)</f>
        <v>742.36392075113713</v>
      </c>
      <c r="AO60">
        <f>STDEV(AO41:AO57)</f>
        <v>527.46018807109988</v>
      </c>
      <c r="AP60">
        <f>STDEV(AP41:AP57)</f>
        <v>1356.2689937226071</v>
      </c>
      <c r="AQ60">
        <f>STDEV(AQ41:AQ57)</f>
        <v>463.90911466220047</v>
      </c>
      <c r="AR60">
        <f>STDEV(AR41:AR57)</f>
        <v>688.94188192231911</v>
      </c>
      <c r="AS60">
        <f>STDEV(AS41:AS57)</f>
        <v>601.7358224337321</v>
      </c>
      <c r="AT60">
        <f>STDEV(AT41:AT57)</f>
        <v>789.53800837367362</v>
      </c>
      <c r="AU60">
        <f>STDEV(AU41:AU57)</f>
        <v>643.8490506322114</v>
      </c>
      <c r="AV60">
        <f>STDEV(AV41:AV57)</f>
        <v>1721.1814048993874</v>
      </c>
      <c r="AW60">
        <f>STDEV(AW41:AW57)</f>
        <v>1564.0622003829203</v>
      </c>
      <c r="AX60">
        <f>STDEV(AX41:AX57)</f>
        <v>944.29592819200491</v>
      </c>
      <c r="AY60">
        <f>STDEV(AY41:AY57)</f>
        <v>247.33883641676655</v>
      </c>
      <c r="AZ60">
        <f>STDEV(AZ41:AZ57)</f>
        <v>287.62881172325791</v>
      </c>
      <c r="BB60">
        <f t="shared" ref="BA60:BM60" si="2">STDEV(BB41:BB57)</f>
        <v>602.17318476036871</v>
      </c>
      <c r="BC60">
        <f t="shared" si="2"/>
        <v>947.68774744990083</v>
      </c>
      <c r="BD60">
        <f t="shared" si="2"/>
        <v>318.14163512498618</v>
      </c>
      <c r="BE60">
        <f t="shared" si="2"/>
        <v>348.21009854292373</v>
      </c>
      <c r="BF60">
        <f t="shared" si="2"/>
        <v>829.69375054713419</v>
      </c>
      <c r="BG60">
        <f t="shared" si="2"/>
        <v>679.74648635670474</v>
      </c>
      <c r="BH60">
        <f t="shared" si="2"/>
        <v>945.06519340213799</v>
      </c>
      <c r="BI60">
        <f t="shared" si="2"/>
        <v>787.50987434939816</v>
      </c>
      <c r="BJ60">
        <f t="shared" si="2"/>
        <v>826.73938639907885</v>
      </c>
      <c r="BK60">
        <f t="shared" si="2"/>
        <v>1078.7309057699667</v>
      </c>
      <c r="BL60">
        <f t="shared" si="2"/>
        <v>1206.8894987678032</v>
      </c>
      <c r="BM60">
        <f t="shared" si="2"/>
        <v>1606.8900511658094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opLeftCell="A5" zoomScale="75" zoomScaleNormal="75" zoomScalePageLayoutView="75" workbookViewId="0">
      <selection activeCell="B31" sqref="B31:Z31"/>
    </sheetView>
  </sheetViews>
  <sheetFormatPr baseColWidth="10" defaultRowHeight="15" x14ac:dyDescent="0"/>
  <cols>
    <col min="1" max="1" width="13.6640625" customWidth="1"/>
  </cols>
  <sheetData>
    <row r="1" spans="1:26">
      <c r="A1" t="s">
        <v>93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2435</v>
      </c>
      <c r="C2">
        <v>4047</v>
      </c>
      <c r="D2">
        <v>1797</v>
      </c>
      <c r="E2">
        <v>1641</v>
      </c>
      <c r="F2">
        <v>1996</v>
      </c>
      <c r="G2">
        <v>2428</v>
      </c>
      <c r="H2">
        <v>3561</v>
      </c>
      <c r="I2">
        <v>6736</v>
      </c>
      <c r="J2">
        <v>5990</v>
      </c>
      <c r="K2">
        <v>8012</v>
      </c>
      <c r="L2">
        <v>5562</v>
      </c>
      <c r="M2">
        <v>4236</v>
      </c>
      <c r="O2">
        <v>3626</v>
      </c>
      <c r="P2">
        <v>7882</v>
      </c>
      <c r="Q2">
        <v>3514</v>
      </c>
      <c r="R2">
        <v>4861</v>
      </c>
      <c r="S2">
        <v>5046</v>
      </c>
      <c r="T2">
        <v>7030</v>
      </c>
      <c r="U2">
        <v>16141</v>
      </c>
      <c r="V2">
        <v>16327</v>
      </c>
      <c r="W2">
        <v>15585</v>
      </c>
      <c r="X2">
        <v>15735</v>
      </c>
      <c r="Y2">
        <v>14777</v>
      </c>
      <c r="Z2">
        <v>13794</v>
      </c>
    </row>
    <row r="3" spans="1:26">
      <c r="B3">
        <v>2507</v>
      </c>
      <c r="C3">
        <v>5291</v>
      </c>
      <c r="D3">
        <v>1790</v>
      </c>
      <c r="E3">
        <v>1695</v>
      </c>
      <c r="F3">
        <v>2055</v>
      </c>
      <c r="G3">
        <v>3600</v>
      </c>
      <c r="H3">
        <v>4216</v>
      </c>
      <c r="I3">
        <v>5296</v>
      </c>
      <c r="J3">
        <v>6502</v>
      </c>
      <c r="K3">
        <v>7682</v>
      </c>
      <c r="L3">
        <v>4947</v>
      </c>
      <c r="M3">
        <v>4030</v>
      </c>
      <c r="O3">
        <v>2318</v>
      </c>
      <c r="P3">
        <v>4742</v>
      </c>
      <c r="Q3">
        <v>2240</v>
      </c>
      <c r="R3">
        <v>2042</v>
      </c>
      <c r="S3">
        <v>5255</v>
      </c>
      <c r="T3">
        <v>6648</v>
      </c>
      <c r="U3">
        <v>13609</v>
      </c>
      <c r="V3">
        <v>14709</v>
      </c>
      <c r="W3">
        <v>15724</v>
      </c>
      <c r="X3">
        <v>14811</v>
      </c>
      <c r="Y3">
        <v>13164</v>
      </c>
      <c r="Z3">
        <v>13279</v>
      </c>
    </row>
    <row r="4" spans="1:26">
      <c r="B4">
        <v>2887</v>
      </c>
      <c r="C4">
        <v>4410</v>
      </c>
      <c r="D4">
        <v>1638</v>
      </c>
      <c r="E4">
        <v>1742</v>
      </c>
      <c r="F4">
        <v>1639</v>
      </c>
      <c r="G4">
        <v>3747</v>
      </c>
      <c r="H4">
        <v>5321</v>
      </c>
      <c r="I4">
        <v>5403</v>
      </c>
      <c r="J4">
        <v>7076</v>
      </c>
      <c r="K4">
        <v>7845</v>
      </c>
      <c r="L4">
        <v>5692</v>
      </c>
      <c r="M4">
        <v>3999</v>
      </c>
      <c r="O4">
        <v>3081</v>
      </c>
      <c r="P4">
        <v>6787</v>
      </c>
      <c r="Q4">
        <v>2462</v>
      </c>
      <c r="R4">
        <v>2997</v>
      </c>
      <c r="S4">
        <v>4733</v>
      </c>
      <c r="T4">
        <v>6195</v>
      </c>
      <c r="U4">
        <v>11789</v>
      </c>
      <c r="V4">
        <v>14961</v>
      </c>
      <c r="W4">
        <v>16193</v>
      </c>
      <c r="X4">
        <v>15550</v>
      </c>
      <c r="Y4">
        <v>13294</v>
      </c>
      <c r="Z4">
        <v>13632</v>
      </c>
    </row>
    <row r="5" spans="1:26">
      <c r="B5">
        <v>2282</v>
      </c>
      <c r="C5">
        <v>5904</v>
      </c>
      <c r="D5">
        <v>1580</v>
      </c>
      <c r="E5">
        <v>1462</v>
      </c>
      <c r="F5">
        <v>2866</v>
      </c>
      <c r="G5">
        <v>3458</v>
      </c>
      <c r="H5">
        <v>3707</v>
      </c>
      <c r="I5">
        <v>4660</v>
      </c>
      <c r="J5">
        <v>8927</v>
      </c>
      <c r="K5">
        <v>7315</v>
      </c>
      <c r="L5">
        <v>6481</v>
      </c>
      <c r="M5">
        <v>5181</v>
      </c>
      <c r="O5">
        <v>4100</v>
      </c>
      <c r="P5">
        <v>5676</v>
      </c>
      <c r="R5">
        <v>3211</v>
      </c>
      <c r="S5">
        <v>4767</v>
      </c>
      <c r="T5">
        <v>8260</v>
      </c>
      <c r="U5">
        <v>12754</v>
      </c>
      <c r="V5">
        <v>16327</v>
      </c>
      <c r="W5">
        <v>16126</v>
      </c>
      <c r="Y5">
        <v>15167</v>
      </c>
    </row>
    <row r="6" spans="1:26">
      <c r="F6">
        <v>2858</v>
      </c>
      <c r="G6">
        <v>3296</v>
      </c>
      <c r="I6">
        <v>5559</v>
      </c>
      <c r="J6">
        <v>9406</v>
      </c>
      <c r="K6">
        <v>7057</v>
      </c>
      <c r="L6">
        <v>6401</v>
      </c>
      <c r="O6">
        <v>2330</v>
      </c>
      <c r="S6">
        <v>3955</v>
      </c>
      <c r="T6">
        <v>7804</v>
      </c>
      <c r="U6">
        <v>14180</v>
      </c>
      <c r="V6">
        <v>15942</v>
      </c>
      <c r="W6">
        <v>16344</v>
      </c>
    </row>
    <row r="7" spans="1:26">
      <c r="F7">
        <v>2102</v>
      </c>
      <c r="G7">
        <v>3504</v>
      </c>
      <c r="I7">
        <v>6572</v>
      </c>
      <c r="J7">
        <v>6635</v>
      </c>
      <c r="K7">
        <v>6009</v>
      </c>
      <c r="L7">
        <v>6632</v>
      </c>
      <c r="S7">
        <v>5110</v>
      </c>
      <c r="T7">
        <v>7419</v>
      </c>
      <c r="V7">
        <v>16222</v>
      </c>
      <c r="W7">
        <v>15096</v>
      </c>
    </row>
    <row r="8" spans="1:26">
      <c r="I8">
        <v>6662</v>
      </c>
      <c r="J8">
        <v>6418</v>
      </c>
      <c r="K8">
        <v>6683</v>
      </c>
      <c r="L8">
        <v>5549</v>
      </c>
      <c r="V8">
        <v>16231</v>
      </c>
      <c r="W8">
        <v>15788</v>
      </c>
    </row>
    <row r="9" spans="1:26">
      <c r="J9">
        <v>6122</v>
      </c>
      <c r="K9">
        <v>4762</v>
      </c>
      <c r="L9">
        <v>5203</v>
      </c>
      <c r="W9">
        <v>16231</v>
      </c>
    </row>
    <row r="10" spans="1:26">
      <c r="J10">
        <v>6936</v>
      </c>
      <c r="K10">
        <v>6378</v>
      </c>
      <c r="L10">
        <v>4896</v>
      </c>
    </row>
    <row r="11" spans="1:26">
      <c r="J11">
        <v>6385</v>
      </c>
      <c r="L11">
        <v>4485</v>
      </c>
    </row>
    <row r="20" spans="1:26">
      <c r="A20" t="s">
        <v>94</v>
      </c>
      <c r="B20">
        <v>240</v>
      </c>
      <c r="C20">
        <v>215</v>
      </c>
      <c r="D20">
        <v>264</v>
      </c>
      <c r="E20">
        <v>344</v>
      </c>
      <c r="F20">
        <v>1247</v>
      </c>
      <c r="G20">
        <v>1973</v>
      </c>
      <c r="H20">
        <v>5575</v>
      </c>
      <c r="I20">
        <v>6354</v>
      </c>
      <c r="J20">
        <v>6032</v>
      </c>
      <c r="K20">
        <v>5119</v>
      </c>
      <c r="L20">
        <v>5333</v>
      </c>
      <c r="M20">
        <v>4491</v>
      </c>
      <c r="O20">
        <v>345</v>
      </c>
      <c r="P20">
        <v>325</v>
      </c>
      <c r="Q20">
        <v>386</v>
      </c>
      <c r="R20">
        <v>603</v>
      </c>
      <c r="S20">
        <v>663</v>
      </c>
      <c r="T20">
        <v>884</v>
      </c>
      <c r="U20">
        <v>1919</v>
      </c>
      <c r="V20">
        <v>2566</v>
      </c>
      <c r="W20">
        <v>3189</v>
      </c>
      <c r="X20">
        <v>3242</v>
      </c>
      <c r="Y20">
        <v>3273</v>
      </c>
      <c r="Z20">
        <v>2706</v>
      </c>
    </row>
    <row r="21" spans="1:26">
      <c r="B21">
        <v>205</v>
      </c>
      <c r="C21">
        <v>240</v>
      </c>
      <c r="D21">
        <v>294</v>
      </c>
      <c r="E21">
        <v>551</v>
      </c>
      <c r="F21">
        <v>625</v>
      </c>
      <c r="G21">
        <v>4203</v>
      </c>
      <c r="H21">
        <v>5621</v>
      </c>
      <c r="I21">
        <v>4754</v>
      </c>
      <c r="J21">
        <v>5363</v>
      </c>
      <c r="K21">
        <v>4433</v>
      </c>
      <c r="L21">
        <v>5128</v>
      </c>
      <c r="M21">
        <v>5119</v>
      </c>
      <c r="O21">
        <v>299</v>
      </c>
      <c r="P21">
        <v>306</v>
      </c>
      <c r="Q21">
        <v>362</v>
      </c>
      <c r="R21">
        <v>486</v>
      </c>
      <c r="S21">
        <v>704</v>
      </c>
      <c r="T21">
        <v>1143</v>
      </c>
      <c r="U21">
        <v>1360</v>
      </c>
      <c r="V21">
        <v>2817</v>
      </c>
      <c r="W21">
        <v>2914</v>
      </c>
      <c r="X21">
        <v>2480</v>
      </c>
      <c r="Y21">
        <v>2514</v>
      </c>
      <c r="Z21">
        <v>2497</v>
      </c>
    </row>
    <row r="22" spans="1:26">
      <c r="B22">
        <v>242</v>
      </c>
      <c r="C22">
        <v>263</v>
      </c>
      <c r="D22">
        <v>340</v>
      </c>
      <c r="E22">
        <v>412</v>
      </c>
      <c r="F22">
        <v>994</v>
      </c>
      <c r="G22">
        <v>2168</v>
      </c>
      <c r="H22">
        <v>3900</v>
      </c>
      <c r="I22">
        <v>4313</v>
      </c>
      <c r="J22">
        <v>7851</v>
      </c>
      <c r="K22">
        <v>4884</v>
      </c>
      <c r="L22">
        <v>5296</v>
      </c>
      <c r="M22">
        <v>4011</v>
      </c>
      <c r="O22">
        <v>297</v>
      </c>
      <c r="P22">
        <v>345</v>
      </c>
      <c r="Q22">
        <v>319</v>
      </c>
      <c r="R22">
        <v>444</v>
      </c>
      <c r="S22">
        <v>655</v>
      </c>
      <c r="T22">
        <v>973</v>
      </c>
      <c r="U22">
        <v>1953</v>
      </c>
      <c r="V22">
        <v>2599</v>
      </c>
      <c r="W22">
        <v>4446</v>
      </c>
      <c r="X22">
        <v>2736</v>
      </c>
      <c r="Y22">
        <v>3087</v>
      </c>
      <c r="Z22">
        <v>4038</v>
      </c>
    </row>
    <row r="23" spans="1:26">
      <c r="F23">
        <v>1595</v>
      </c>
      <c r="G23">
        <v>2321</v>
      </c>
      <c r="H23">
        <v>3645</v>
      </c>
      <c r="I23">
        <v>4551</v>
      </c>
      <c r="J23">
        <v>5548</v>
      </c>
      <c r="K23">
        <v>4260</v>
      </c>
      <c r="L23">
        <v>4941</v>
      </c>
      <c r="M23">
        <v>3660</v>
      </c>
      <c r="U23">
        <v>1306</v>
      </c>
      <c r="V23">
        <v>3660</v>
      </c>
      <c r="W23">
        <v>3477</v>
      </c>
      <c r="X23">
        <v>3469</v>
      </c>
      <c r="Y23">
        <v>3332</v>
      </c>
    </row>
    <row r="24" spans="1:26">
      <c r="H24">
        <v>3135</v>
      </c>
      <c r="J24">
        <v>5944</v>
      </c>
      <c r="U24">
        <v>1462</v>
      </c>
      <c r="V24">
        <v>2870</v>
      </c>
      <c r="W24">
        <v>2927</v>
      </c>
      <c r="X24">
        <v>4488</v>
      </c>
    </row>
    <row r="25" spans="1:26">
      <c r="H25">
        <v>4629</v>
      </c>
      <c r="U25">
        <v>1380</v>
      </c>
      <c r="V25">
        <v>2270</v>
      </c>
      <c r="W25">
        <v>3023</v>
      </c>
      <c r="X25">
        <v>3231</v>
      </c>
    </row>
    <row r="26" spans="1:26">
      <c r="U26">
        <v>1679</v>
      </c>
      <c r="V26">
        <v>3129</v>
      </c>
      <c r="X26">
        <v>3319</v>
      </c>
    </row>
    <row r="27" spans="1:26">
      <c r="V27">
        <v>3309</v>
      </c>
    </row>
    <row r="29" spans="1:26">
      <c r="A29" t="s">
        <v>110</v>
      </c>
      <c r="B29">
        <f>AVERAGE(B20:B27)</f>
        <v>229</v>
      </c>
      <c r="C29">
        <f t="shared" ref="C29:Z29" si="0">AVERAGE(C20:C27)</f>
        <v>239.33333333333334</v>
      </c>
      <c r="D29">
        <f t="shared" si="0"/>
        <v>299.33333333333331</v>
      </c>
      <c r="E29">
        <f t="shared" si="0"/>
        <v>435.66666666666669</v>
      </c>
      <c r="F29">
        <f t="shared" si="0"/>
        <v>1115.25</v>
      </c>
      <c r="G29">
        <f t="shared" si="0"/>
        <v>2666.25</v>
      </c>
      <c r="H29">
        <f t="shared" si="0"/>
        <v>4417.5</v>
      </c>
      <c r="I29">
        <f t="shared" si="0"/>
        <v>4993</v>
      </c>
      <c r="J29">
        <f t="shared" si="0"/>
        <v>6147.6</v>
      </c>
      <c r="K29">
        <f t="shared" si="0"/>
        <v>4674</v>
      </c>
      <c r="L29">
        <f t="shared" si="0"/>
        <v>5174.5</v>
      </c>
      <c r="M29">
        <f t="shared" si="0"/>
        <v>4320.25</v>
      </c>
      <c r="O29">
        <f t="shared" si="0"/>
        <v>313.66666666666669</v>
      </c>
      <c r="P29">
        <f t="shared" si="0"/>
        <v>325.33333333333331</v>
      </c>
      <c r="Q29">
        <f t="shared" si="0"/>
        <v>355.66666666666669</v>
      </c>
      <c r="R29">
        <f t="shared" si="0"/>
        <v>511</v>
      </c>
      <c r="S29">
        <f t="shared" si="0"/>
        <v>674</v>
      </c>
      <c r="T29">
        <f t="shared" si="0"/>
        <v>1000</v>
      </c>
      <c r="U29">
        <f t="shared" si="0"/>
        <v>1579.8571428571429</v>
      </c>
      <c r="V29">
        <f t="shared" si="0"/>
        <v>2902.5</v>
      </c>
      <c r="W29">
        <f t="shared" si="0"/>
        <v>3329.3333333333335</v>
      </c>
      <c r="X29">
        <f t="shared" si="0"/>
        <v>3280.7142857142858</v>
      </c>
      <c r="Y29">
        <f t="shared" si="0"/>
        <v>3051.5</v>
      </c>
      <c r="Z29">
        <f t="shared" si="0"/>
        <v>3080.3333333333335</v>
      </c>
    </row>
    <row r="31" spans="1:26">
      <c r="A31" t="s">
        <v>133</v>
      </c>
      <c r="B31" t="s">
        <v>0</v>
      </c>
      <c r="C31" t="s">
        <v>1</v>
      </c>
      <c r="D31" t="s">
        <v>2</v>
      </c>
      <c r="E31" t="s">
        <v>3</v>
      </c>
      <c r="F31" t="s">
        <v>4</v>
      </c>
      <c r="G31" t="s">
        <v>5</v>
      </c>
      <c r="H31" t="s">
        <v>6</v>
      </c>
      <c r="I31" t="s">
        <v>7</v>
      </c>
      <c r="J31" t="s">
        <v>8</v>
      </c>
      <c r="K31" t="s">
        <v>9</v>
      </c>
      <c r="L31" t="s">
        <v>10</v>
      </c>
      <c r="M31" t="s">
        <v>11</v>
      </c>
      <c r="O31" t="s">
        <v>48</v>
      </c>
      <c r="P31" t="s">
        <v>49</v>
      </c>
      <c r="Q31" t="s">
        <v>50</v>
      </c>
      <c r="R31" t="s">
        <v>51</v>
      </c>
      <c r="S31" t="s">
        <v>52</v>
      </c>
      <c r="T31" t="s">
        <v>53</v>
      </c>
      <c r="U31" t="s">
        <v>54</v>
      </c>
      <c r="V31" t="s">
        <v>55</v>
      </c>
      <c r="W31" t="s">
        <v>56</v>
      </c>
      <c r="X31" t="s">
        <v>57</v>
      </c>
      <c r="Y31" t="s">
        <v>58</v>
      </c>
      <c r="Z31" t="s">
        <v>59</v>
      </c>
    </row>
    <row r="32" spans="1:26">
      <c r="B32">
        <f>B2-229</f>
        <v>2206</v>
      </c>
      <c r="C32">
        <f>C2-239</f>
        <v>3808</v>
      </c>
      <c r="D32">
        <f>D2-299</f>
        <v>1498</v>
      </c>
      <c r="E32">
        <f>E2-436</f>
        <v>1205</v>
      </c>
      <c r="F32">
        <f t="shared" ref="F32:F37" si="1">F2-1115</f>
        <v>881</v>
      </c>
      <c r="G32">
        <f t="shared" ref="G32:G37" si="2">G2-2666</f>
        <v>-238</v>
      </c>
      <c r="H32">
        <f>H2-4418</f>
        <v>-857</v>
      </c>
      <c r="I32">
        <f>I2-4993</f>
        <v>1743</v>
      </c>
      <c r="J32">
        <f t="shared" ref="J32:J41" si="3">J2-6148</f>
        <v>-158</v>
      </c>
      <c r="K32">
        <f t="shared" ref="K32:K40" si="4">K2-4674</f>
        <v>3338</v>
      </c>
      <c r="L32">
        <f t="shared" ref="L32:L41" si="5">L2-5175</f>
        <v>387</v>
      </c>
      <c r="M32">
        <f>M2-4320</f>
        <v>-84</v>
      </c>
      <c r="O32">
        <f>O2-314</f>
        <v>3312</v>
      </c>
      <c r="P32">
        <f>P2-325</f>
        <v>7557</v>
      </c>
      <c r="Q32">
        <f>Q2-356</f>
        <v>3158</v>
      </c>
      <c r="R32">
        <f>R2-511</f>
        <v>4350</v>
      </c>
      <c r="S32">
        <f t="shared" ref="S32:S37" si="6">S2-674</f>
        <v>4372</v>
      </c>
      <c r="T32">
        <f t="shared" ref="T32:T37" si="7">T2-1000</f>
        <v>6030</v>
      </c>
      <c r="U32">
        <f>U2-1580</f>
        <v>14561</v>
      </c>
      <c r="V32">
        <f t="shared" ref="V32:V38" si="8">V2-2903</f>
        <v>13424</v>
      </c>
      <c r="W32">
        <f t="shared" ref="W32:W39" si="9">W2-3329</f>
        <v>12256</v>
      </c>
      <c r="X32">
        <f>X2-3281</f>
        <v>12454</v>
      </c>
      <c r="Y32">
        <f>Y2-3052</f>
        <v>11725</v>
      </c>
      <c r="Z32">
        <f>Z2-3080</f>
        <v>10714</v>
      </c>
    </row>
    <row r="33" spans="1:26">
      <c r="B33">
        <f>B3-229</f>
        <v>2278</v>
      </c>
      <c r="C33">
        <f>C3-239</f>
        <v>5052</v>
      </c>
      <c r="D33">
        <f>D3-299</f>
        <v>1491</v>
      </c>
      <c r="E33">
        <f>E3-436</f>
        <v>1259</v>
      </c>
      <c r="F33">
        <f t="shared" si="1"/>
        <v>940</v>
      </c>
      <c r="G33">
        <f t="shared" si="2"/>
        <v>934</v>
      </c>
      <c r="H33">
        <f>I6-4418</f>
        <v>1141</v>
      </c>
      <c r="I33">
        <f>I3-4993</f>
        <v>303</v>
      </c>
      <c r="J33">
        <f t="shared" si="3"/>
        <v>354</v>
      </c>
      <c r="K33">
        <f t="shared" si="4"/>
        <v>3008</v>
      </c>
      <c r="L33">
        <f t="shared" si="5"/>
        <v>-228</v>
      </c>
      <c r="M33">
        <f>M3-4320</f>
        <v>-290</v>
      </c>
      <c r="O33">
        <f>O3-314</f>
        <v>2004</v>
      </c>
      <c r="P33">
        <f>P3-325</f>
        <v>4417</v>
      </c>
      <c r="Q33">
        <f>Q3-356</f>
        <v>1884</v>
      </c>
      <c r="R33">
        <f>R3-511</f>
        <v>1531</v>
      </c>
      <c r="S33">
        <f t="shared" si="6"/>
        <v>4581</v>
      </c>
      <c r="T33">
        <f t="shared" si="7"/>
        <v>5648</v>
      </c>
      <c r="U33">
        <f>U3-1580</f>
        <v>12029</v>
      </c>
      <c r="V33">
        <f t="shared" si="8"/>
        <v>11806</v>
      </c>
      <c r="W33">
        <f t="shared" si="9"/>
        <v>12395</v>
      </c>
      <c r="X33">
        <f>X3-3281</f>
        <v>11530</v>
      </c>
      <c r="Y33">
        <f>Y3-3052</f>
        <v>10112</v>
      </c>
      <c r="Z33">
        <f>Z3-3080</f>
        <v>10199</v>
      </c>
    </row>
    <row r="34" spans="1:26">
      <c r="B34">
        <f>B4-229</f>
        <v>2658</v>
      </c>
      <c r="C34">
        <f>C4-239</f>
        <v>4171</v>
      </c>
      <c r="D34">
        <f>D4-299</f>
        <v>1339</v>
      </c>
      <c r="E34">
        <f>E4-436</f>
        <v>1306</v>
      </c>
      <c r="F34">
        <f t="shared" si="1"/>
        <v>524</v>
      </c>
      <c r="G34">
        <f t="shared" si="2"/>
        <v>1081</v>
      </c>
      <c r="H34">
        <f>H4-4418</f>
        <v>903</v>
      </c>
      <c r="I34">
        <f>I4-4993</f>
        <v>410</v>
      </c>
      <c r="J34">
        <f t="shared" si="3"/>
        <v>928</v>
      </c>
      <c r="K34">
        <f t="shared" si="4"/>
        <v>3171</v>
      </c>
      <c r="L34">
        <f t="shared" si="5"/>
        <v>517</v>
      </c>
      <c r="M34">
        <f>M4-4320</f>
        <v>-321</v>
      </c>
      <c r="O34">
        <f>O4-314</f>
        <v>2767</v>
      </c>
      <c r="P34">
        <f>P4-325</f>
        <v>6462</v>
      </c>
      <c r="Q34">
        <f>Q4-356</f>
        <v>2106</v>
      </c>
      <c r="R34">
        <f>R4-511</f>
        <v>2486</v>
      </c>
      <c r="S34">
        <f t="shared" si="6"/>
        <v>4059</v>
      </c>
      <c r="T34">
        <f t="shared" si="7"/>
        <v>5195</v>
      </c>
      <c r="U34">
        <f>U4-1580</f>
        <v>10209</v>
      </c>
      <c r="V34">
        <f t="shared" si="8"/>
        <v>12058</v>
      </c>
      <c r="W34">
        <f t="shared" si="9"/>
        <v>12864</v>
      </c>
      <c r="X34">
        <f>X4-3281</f>
        <v>12269</v>
      </c>
      <c r="Y34">
        <f>Y4-3052</f>
        <v>10242</v>
      </c>
      <c r="Z34">
        <f>Z4-3080</f>
        <v>10552</v>
      </c>
    </row>
    <row r="35" spans="1:26">
      <c r="B35">
        <f>B5-229</f>
        <v>2053</v>
      </c>
      <c r="C35">
        <f>C5-239</f>
        <v>5665</v>
      </c>
      <c r="D35">
        <f>D5-299</f>
        <v>1281</v>
      </c>
      <c r="E35">
        <f>E5-436</f>
        <v>1026</v>
      </c>
      <c r="F35">
        <f t="shared" si="1"/>
        <v>1751</v>
      </c>
      <c r="G35">
        <f t="shared" si="2"/>
        <v>792</v>
      </c>
      <c r="H35">
        <f>H5-4418</f>
        <v>-711</v>
      </c>
      <c r="I35">
        <f>I5-4993</f>
        <v>-333</v>
      </c>
      <c r="J35">
        <f t="shared" si="3"/>
        <v>2779</v>
      </c>
      <c r="K35">
        <f t="shared" si="4"/>
        <v>2641</v>
      </c>
      <c r="L35">
        <f t="shared" si="5"/>
        <v>1306</v>
      </c>
      <c r="M35">
        <f>M5-4320</f>
        <v>861</v>
      </c>
      <c r="O35">
        <f>O5-314</f>
        <v>3786</v>
      </c>
      <c r="P35">
        <f>P5-325</f>
        <v>5351</v>
      </c>
      <c r="R35">
        <f>R5-511</f>
        <v>2700</v>
      </c>
      <c r="S35">
        <f t="shared" si="6"/>
        <v>4093</v>
      </c>
      <c r="T35">
        <f t="shared" si="7"/>
        <v>7260</v>
      </c>
      <c r="U35">
        <f>U5-1580</f>
        <v>11174</v>
      </c>
      <c r="V35">
        <f t="shared" si="8"/>
        <v>13424</v>
      </c>
      <c r="W35">
        <f t="shared" si="9"/>
        <v>12797</v>
      </c>
      <c r="Y35">
        <f>Y5-3052</f>
        <v>12115</v>
      </c>
    </row>
    <row r="36" spans="1:26">
      <c r="F36">
        <f t="shared" si="1"/>
        <v>1743</v>
      </c>
      <c r="G36">
        <f t="shared" si="2"/>
        <v>630</v>
      </c>
      <c r="I36">
        <f>H3-4993</f>
        <v>-777</v>
      </c>
      <c r="J36">
        <f t="shared" si="3"/>
        <v>3258</v>
      </c>
      <c r="K36">
        <f t="shared" si="4"/>
        <v>2383</v>
      </c>
      <c r="L36">
        <f t="shared" si="5"/>
        <v>1226</v>
      </c>
      <c r="O36">
        <f>O6-314</f>
        <v>2016</v>
      </c>
      <c r="S36">
        <f t="shared" si="6"/>
        <v>3281</v>
      </c>
      <c r="T36">
        <f t="shared" si="7"/>
        <v>6804</v>
      </c>
      <c r="U36">
        <f>U6-1580</f>
        <v>12600</v>
      </c>
      <c r="V36">
        <f t="shared" si="8"/>
        <v>13039</v>
      </c>
      <c r="W36">
        <f t="shared" si="9"/>
        <v>13015</v>
      </c>
    </row>
    <row r="37" spans="1:26">
      <c r="F37">
        <f t="shared" si="1"/>
        <v>987</v>
      </c>
      <c r="G37">
        <f t="shared" si="2"/>
        <v>838</v>
      </c>
      <c r="I37">
        <f>I7-4993</f>
        <v>1579</v>
      </c>
      <c r="J37">
        <f t="shared" si="3"/>
        <v>487</v>
      </c>
      <c r="K37">
        <f t="shared" si="4"/>
        <v>1335</v>
      </c>
      <c r="L37">
        <f t="shared" si="5"/>
        <v>1457</v>
      </c>
      <c r="S37">
        <f t="shared" si="6"/>
        <v>4436</v>
      </c>
      <c r="T37">
        <f t="shared" si="7"/>
        <v>6419</v>
      </c>
      <c r="V37">
        <f t="shared" si="8"/>
        <v>13319</v>
      </c>
      <c r="W37">
        <f t="shared" si="9"/>
        <v>11767</v>
      </c>
    </row>
    <row r="38" spans="1:26">
      <c r="I38">
        <f>I8-4993</f>
        <v>1669</v>
      </c>
      <c r="J38">
        <f t="shared" si="3"/>
        <v>270</v>
      </c>
      <c r="K38">
        <f t="shared" si="4"/>
        <v>2009</v>
      </c>
      <c r="L38">
        <f t="shared" si="5"/>
        <v>374</v>
      </c>
      <c r="V38">
        <f t="shared" si="8"/>
        <v>13328</v>
      </c>
      <c r="W38">
        <f t="shared" si="9"/>
        <v>12459</v>
      </c>
    </row>
    <row r="39" spans="1:26">
      <c r="J39">
        <f t="shared" si="3"/>
        <v>-26</v>
      </c>
      <c r="K39">
        <f t="shared" si="4"/>
        <v>88</v>
      </c>
      <c r="L39">
        <f t="shared" si="5"/>
        <v>28</v>
      </c>
      <c r="W39">
        <f t="shared" si="9"/>
        <v>12902</v>
      </c>
    </row>
    <row r="40" spans="1:26">
      <c r="J40">
        <f t="shared" si="3"/>
        <v>788</v>
      </c>
      <c r="K40">
        <f t="shared" si="4"/>
        <v>1704</v>
      </c>
      <c r="L40">
        <f t="shared" si="5"/>
        <v>-279</v>
      </c>
    </row>
    <row r="41" spans="1:26">
      <c r="J41">
        <f t="shared" si="3"/>
        <v>237</v>
      </c>
      <c r="L41">
        <f t="shared" si="5"/>
        <v>-690</v>
      </c>
    </row>
    <row r="44" spans="1:26">
      <c r="A44" t="s">
        <v>95</v>
      </c>
      <c r="B44">
        <f>AVERAGE(B32:B42)</f>
        <v>2298.75</v>
      </c>
      <c r="C44">
        <f t="shared" ref="C44:Z44" si="10">AVERAGE(C32:C42)</f>
        <v>4674</v>
      </c>
      <c r="D44">
        <f t="shared" si="10"/>
        <v>1402.25</v>
      </c>
      <c r="E44">
        <f t="shared" si="10"/>
        <v>1199</v>
      </c>
      <c r="F44">
        <f t="shared" si="10"/>
        <v>1137.6666666666667</v>
      </c>
      <c r="G44">
        <f t="shared" si="10"/>
        <v>672.83333333333337</v>
      </c>
      <c r="H44">
        <f t="shared" si="10"/>
        <v>119</v>
      </c>
      <c r="I44">
        <f t="shared" si="10"/>
        <v>656.28571428571433</v>
      </c>
      <c r="J44">
        <f t="shared" si="10"/>
        <v>891.7</v>
      </c>
      <c r="K44">
        <f t="shared" si="10"/>
        <v>2186.3333333333335</v>
      </c>
      <c r="L44">
        <f t="shared" si="10"/>
        <v>409.8</v>
      </c>
      <c r="M44">
        <f t="shared" si="10"/>
        <v>41.5</v>
      </c>
      <c r="O44">
        <f t="shared" si="10"/>
        <v>2777</v>
      </c>
      <c r="P44">
        <f t="shared" si="10"/>
        <v>5946.75</v>
      </c>
      <c r="Q44">
        <f t="shared" si="10"/>
        <v>2382.6666666666665</v>
      </c>
      <c r="R44">
        <f t="shared" si="10"/>
        <v>2766.75</v>
      </c>
      <c r="S44">
        <f t="shared" si="10"/>
        <v>4137</v>
      </c>
      <c r="T44">
        <f t="shared" si="10"/>
        <v>6226</v>
      </c>
      <c r="U44">
        <f t="shared" si="10"/>
        <v>12114.6</v>
      </c>
      <c r="V44">
        <f t="shared" si="10"/>
        <v>12914</v>
      </c>
      <c r="W44">
        <f t="shared" si="10"/>
        <v>12556.875</v>
      </c>
      <c r="X44">
        <f t="shared" si="10"/>
        <v>12084.333333333334</v>
      </c>
      <c r="Y44">
        <f t="shared" si="10"/>
        <v>11048.5</v>
      </c>
      <c r="Z44">
        <f t="shared" si="10"/>
        <v>10488.333333333334</v>
      </c>
    </row>
    <row r="45" spans="1:26">
      <c r="A45" t="s">
        <v>14</v>
      </c>
      <c r="B45">
        <f>STDEV(B32:B42)</f>
        <v>257.2202363734238</v>
      </c>
      <c r="C45">
        <f t="shared" ref="C45:Z45" si="11">STDEV(C32:C42)</f>
        <v>842.20543812065239</v>
      </c>
      <c r="D45">
        <f t="shared" si="11"/>
        <v>109.15852386934029</v>
      </c>
      <c r="E45">
        <f t="shared" si="11"/>
        <v>122.49353724448758</v>
      </c>
      <c r="F45">
        <f t="shared" si="11"/>
        <v>499.36826758081713</v>
      </c>
      <c r="G45">
        <f t="shared" si="11"/>
        <v>470.68903393500329</v>
      </c>
      <c r="H45">
        <f t="shared" si="11"/>
        <v>1048.9067324282619</v>
      </c>
      <c r="I45">
        <f t="shared" si="11"/>
        <v>1022.7741220630804</v>
      </c>
      <c r="J45">
        <f t="shared" si="11"/>
        <v>1173.0983713605985</v>
      </c>
      <c r="K45">
        <f t="shared" si="11"/>
        <v>1037.3225149393027</v>
      </c>
      <c r="L45">
        <f t="shared" si="11"/>
        <v>731.50101389767963</v>
      </c>
      <c r="M45">
        <f t="shared" si="11"/>
        <v>556.36588680471777</v>
      </c>
      <c r="O45">
        <f t="shared" si="11"/>
        <v>787.56840972705345</v>
      </c>
      <c r="P45">
        <f t="shared" si="11"/>
        <v>1360.5686005000507</v>
      </c>
      <c r="Q45">
        <f t="shared" si="11"/>
        <v>680.57132861540231</v>
      </c>
      <c r="R45">
        <f t="shared" si="11"/>
        <v>1171.471261562428</v>
      </c>
      <c r="S45">
        <f t="shared" si="11"/>
        <v>465.29947345768619</v>
      </c>
      <c r="T45">
        <f t="shared" si="11"/>
        <v>758.41281634740324</v>
      </c>
      <c r="U45">
        <f t="shared" si="11"/>
        <v>1638.8908749517193</v>
      </c>
      <c r="V45">
        <f t="shared" si="11"/>
        <v>686.97962124068863</v>
      </c>
      <c r="W45">
        <f t="shared" si="11"/>
        <v>419.38507279791719</v>
      </c>
      <c r="X45">
        <f t="shared" si="11"/>
        <v>488.89705801255684</v>
      </c>
      <c r="Y45">
        <f t="shared" si="11"/>
        <v>1020.2204010245367</v>
      </c>
      <c r="Z45">
        <f t="shared" si="11"/>
        <v>263.33691980680061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opLeftCell="A6" zoomScale="75" zoomScaleNormal="75" zoomScalePageLayoutView="75" workbookViewId="0">
      <selection activeCell="B10" sqref="B10"/>
    </sheetView>
  </sheetViews>
  <sheetFormatPr baseColWidth="10" defaultRowHeight="15" x14ac:dyDescent="0"/>
  <sheetData>
    <row r="1" spans="1:26">
      <c r="A1" t="s">
        <v>136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2427</v>
      </c>
      <c r="C2">
        <v>4573</v>
      </c>
      <c r="D2">
        <v>2573</v>
      </c>
      <c r="E2">
        <v>2694</v>
      </c>
      <c r="F2">
        <v>2859</v>
      </c>
      <c r="G2">
        <v>3697</v>
      </c>
      <c r="H2">
        <v>7402</v>
      </c>
      <c r="I2">
        <v>5901</v>
      </c>
      <c r="J2">
        <v>6726</v>
      </c>
      <c r="K2">
        <v>2821</v>
      </c>
      <c r="L2">
        <v>3374</v>
      </c>
      <c r="M2">
        <v>2057</v>
      </c>
      <c r="O2">
        <v>2648</v>
      </c>
      <c r="P2">
        <v>5934</v>
      </c>
      <c r="Q2">
        <v>2282</v>
      </c>
      <c r="R2">
        <v>3015</v>
      </c>
      <c r="S2">
        <v>4336</v>
      </c>
      <c r="T2">
        <v>8641</v>
      </c>
      <c r="U2">
        <v>13129</v>
      </c>
      <c r="V2">
        <v>14411</v>
      </c>
      <c r="W2">
        <v>14732</v>
      </c>
      <c r="X2">
        <v>16353</v>
      </c>
      <c r="Y2">
        <v>15175</v>
      </c>
      <c r="Z2">
        <v>12367</v>
      </c>
    </row>
    <row r="3" spans="1:26">
      <c r="B3">
        <v>3296</v>
      </c>
      <c r="C3">
        <v>7352</v>
      </c>
      <c r="D3">
        <v>2742</v>
      </c>
      <c r="E3">
        <v>2757</v>
      </c>
      <c r="F3">
        <v>3307</v>
      </c>
      <c r="G3">
        <v>3629</v>
      </c>
      <c r="H3">
        <v>7399</v>
      </c>
      <c r="I3">
        <v>6635</v>
      </c>
      <c r="J3">
        <v>6051</v>
      </c>
      <c r="K3">
        <v>2552</v>
      </c>
      <c r="L3">
        <v>2351</v>
      </c>
      <c r="M3">
        <v>1793</v>
      </c>
      <c r="O3">
        <v>3653</v>
      </c>
      <c r="P3">
        <v>5082</v>
      </c>
      <c r="Q3">
        <v>3716</v>
      </c>
      <c r="R3">
        <v>4283</v>
      </c>
      <c r="S3">
        <v>4386</v>
      </c>
      <c r="T3">
        <v>8527</v>
      </c>
      <c r="U3">
        <v>12380</v>
      </c>
      <c r="V3">
        <v>10919</v>
      </c>
      <c r="W3">
        <v>14880</v>
      </c>
      <c r="X3">
        <v>15490</v>
      </c>
      <c r="Y3">
        <v>15208</v>
      </c>
      <c r="Z3">
        <v>15415</v>
      </c>
    </row>
    <row r="4" spans="1:26">
      <c r="B4">
        <v>2105</v>
      </c>
      <c r="C4">
        <v>6208</v>
      </c>
      <c r="D4">
        <v>1958</v>
      </c>
      <c r="E4">
        <v>2875</v>
      </c>
      <c r="F4">
        <v>2486</v>
      </c>
      <c r="G4">
        <v>4429</v>
      </c>
      <c r="H4">
        <v>8135</v>
      </c>
      <c r="I4">
        <v>6280</v>
      </c>
      <c r="J4">
        <v>6406</v>
      </c>
      <c r="K4">
        <v>3822</v>
      </c>
      <c r="L4">
        <v>2165</v>
      </c>
      <c r="M4">
        <v>1630</v>
      </c>
      <c r="O4">
        <v>2382</v>
      </c>
      <c r="P4">
        <v>5194</v>
      </c>
      <c r="Q4">
        <v>2624</v>
      </c>
      <c r="R4">
        <v>3471</v>
      </c>
      <c r="S4">
        <v>4561</v>
      </c>
      <c r="T4">
        <v>6502</v>
      </c>
      <c r="U4">
        <v>10456</v>
      </c>
      <c r="V4">
        <v>14230</v>
      </c>
      <c r="W4">
        <v>16341</v>
      </c>
      <c r="X4">
        <v>15987</v>
      </c>
      <c r="Y4">
        <v>14872</v>
      </c>
      <c r="Z4">
        <v>13588</v>
      </c>
    </row>
    <row r="5" spans="1:26">
      <c r="B5">
        <v>2942</v>
      </c>
      <c r="C5">
        <v>3251</v>
      </c>
      <c r="D5">
        <v>2052</v>
      </c>
      <c r="E5">
        <v>2308</v>
      </c>
      <c r="F5">
        <v>3496</v>
      </c>
      <c r="G5">
        <v>2993</v>
      </c>
      <c r="H5">
        <v>5750</v>
      </c>
      <c r="I5">
        <v>4766</v>
      </c>
      <c r="J5">
        <v>5788</v>
      </c>
      <c r="K5">
        <v>4720</v>
      </c>
      <c r="L5">
        <v>3898</v>
      </c>
      <c r="M5">
        <v>1565</v>
      </c>
      <c r="P5">
        <v>5007</v>
      </c>
      <c r="T5">
        <v>8739</v>
      </c>
      <c r="Y5">
        <v>15843</v>
      </c>
    </row>
    <row r="6" spans="1:26">
      <c r="C6">
        <v>5380</v>
      </c>
      <c r="G6">
        <v>3951</v>
      </c>
      <c r="H6">
        <v>6910</v>
      </c>
      <c r="J6">
        <v>6044</v>
      </c>
      <c r="L6">
        <v>3381</v>
      </c>
      <c r="M6">
        <v>1494</v>
      </c>
      <c r="Y6">
        <v>16310</v>
      </c>
    </row>
    <row r="7" spans="1:26">
      <c r="G7">
        <v>3516</v>
      </c>
      <c r="H7">
        <v>5771</v>
      </c>
      <c r="J7">
        <v>5551</v>
      </c>
      <c r="L7">
        <v>3585</v>
      </c>
      <c r="M7">
        <v>1291</v>
      </c>
    </row>
    <row r="8" spans="1:26">
      <c r="G8">
        <v>4508</v>
      </c>
      <c r="H8">
        <v>6582</v>
      </c>
      <c r="J8">
        <v>5312</v>
      </c>
      <c r="L8">
        <v>2823</v>
      </c>
    </row>
    <row r="9" spans="1:26">
      <c r="L9">
        <v>1809</v>
      </c>
    </row>
    <row r="17" spans="1:26">
      <c r="A17" t="s">
        <v>135</v>
      </c>
      <c r="B17">
        <v>239</v>
      </c>
      <c r="C17">
        <v>301</v>
      </c>
      <c r="D17">
        <v>368</v>
      </c>
      <c r="E17">
        <v>279</v>
      </c>
      <c r="F17">
        <v>1042</v>
      </c>
      <c r="G17">
        <v>1409</v>
      </c>
      <c r="H17">
        <v>1838</v>
      </c>
      <c r="I17">
        <v>2001</v>
      </c>
      <c r="J17">
        <v>2317</v>
      </c>
      <c r="K17">
        <v>2519</v>
      </c>
      <c r="L17">
        <v>2626</v>
      </c>
      <c r="M17">
        <v>1915</v>
      </c>
      <c r="O17">
        <v>208</v>
      </c>
      <c r="P17">
        <v>170</v>
      </c>
      <c r="Q17">
        <v>279</v>
      </c>
      <c r="R17">
        <v>796</v>
      </c>
      <c r="S17">
        <v>1089</v>
      </c>
      <c r="T17">
        <v>2711</v>
      </c>
      <c r="U17">
        <v>4104</v>
      </c>
      <c r="V17">
        <v>4477</v>
      </c>
      <c r="W17">
        <v>6556</v>
      </c>
      <c r="X17">
        <v>8229</v>
      </c>
      <c r="Y17">
        <v>6032</v>
      </c>
      <c r="Z17">
        <v>5865</v>
      </c>
    </row>
    <row r="18" spans="1:26">
      <c r="B18">
        <v>133</v>
      </c>
      <c r="C18">
        <v>324</v>
      </c>
      <c r="D18">
        <v>282</v>
      </c>
      <c r="E18">
        <v>255</v>
      </c>
      <c r="F18">
        <v>992</v>
      </c>
      <c r="G18">
        <v>1236</v>
      </c>
      <c r="H18">
        <v>1953</v>
      </c>
      <c r="I18">
        <v>2587</v>
      </c>
      <c r="J18">
        <v>2385</v>
      </c>
      <c r="K18">
        <v>2484</v>
      </c>
      <c r="L18">
        <v>2841</v>
      </c>
      <c r="M18">
        <v>1068</v>
      </c>
      <c r="O18">
        <v>274</v>
      </c>
      <c r="P18">
        <v>292</v>
      </c>
      <c r="Q18">
        <v>255</v>
      </c>
      <c r="R18">
        <v>725</v>
      </c>
      <c r="S18">
        <v>1149</v>
      </c>
      <c r="T18">
        <v>2759</v>
      </c>
      <c r="U18">
        <v>4767</v>
      </c>
      <c r="V18">
        <v>5362</v>
      </c>
      <c r="W18">
        <v>7459</v>
      </c>
      <c r="X18">
        <v>8542</v>
      </c>
      <c r="Y18">
        <v>8648</v>
      </c>
      <c r="Z18">
        <v>4192</v>
      </c>
    </row>
    <row r="19" spans="1:26">
      <c r="B19">
        <v>282</v>
      </c>
      <c r="C19">
        <v>155</v>
      </c>
      <c r="D19">
        <v>255</v>
      </c>
      <c r="E19">
        <v>389</v>
      </c>
      <c r="F19">
        <v>717</v>
      </c>
      <c r="G19">
        <v>1480</v>
      </c>
      <c r="H19">
        <v>2077</v>
      </c>
      <c r="I19">
        <v>2506</v>
      </c>
      <c r="J19">
        <v>3592</v>
      </c>
      <c r="K19">
        <v>3845</v>
      </c>
      <c r="L19">
        <v>2630</v>
      </c>
      <c r="M19">
        <v>1129</v>
      </c>
      <c r="O19">
        <v>329</v>
      </c>
      <c r="P19">
        <v>328</v>
      </c>
      <c r="Q19">
        <v>389</v>
      </c>
      <c r="R19">
        <v>610</v>
      </c>
      <c r="S19">
        <v>1339</v>
      </c>
      <c r="T19">
        <v>1420</v>
      </c>
      <c r="U19">
        <v>2300</v>
      </c>
      <c r="V19">
        <v>5025</v>
      </c>
      <c r="W19">
        <v>4726</v>
      </c>
      <c r="X19">
        <v>2984</v>
      </c>
      <c r="Y19">
        <v>7156</v>
      </c>
      <c r="Z19">
        <v>3367</v>
      </c>
    </row>
    <row r="20" spans="1:26">
      <c r="G20">
        <v>1391</v>
      </c>
      <c r="H20">
        <v>1819</v>
      </c>
      <c r="I20">
        <v>3685</v>
      </c>
      <c r="J20">
        <v>3943</v>
      </c>
      <c r="K20">
        <v>3591</v>
      </c>
      <c r="L20">
        <v>3710</v>
      </c>
      <c r="M20">
        <v>1642</v>
      </c>
      <c r="T20">
        <v>2209</v>
      </c>
      <c r="U20">
        <v>3960</v>
      </c>
      <c r="V20">
        <v>5461</v>
      </c>
      <c r="X20">
        <v>4767</v>
      </c>
      <c r="Y20">
        <v>6356</v>
      </c>
    </row>
    <row r="21" spans="1:26">
      <c r="H21">
        <v>2336</v>
      </c>
      <c r="J21">
        <v>3138</v>
      </c>
      <c r="K21">
        <v>2273</v>
      </c>
      <c r="M21">
        <v>1680</v>
      </c>
      <c r="Y21">
        <v>4303</v>
      </c>
    </row>
    <row r="22" spans="1:26">
      <c r="J22">
        <v>2916</v>
      </c>
      <c r="Y22">
        <v>9252</v>
      </c>
    </row>
    <row r="24" spans="1:26">
      <c r="A24" t="s">
        <v>95</v>
      </c>
      <c r="B24">
        <f>AVERAGE(B17:B22)</f>
        <v>218</v>
      </c>
      <c r="C24">
        <f t="shared" ref="C24:Z24" si="0">AVERAGE(C17:C22)</f>
        <v>260</v>
      </c>
      <c r="D24">
        <f t="shared" si="0"/>
        <v>301.66666666666669</v>
      </c>
      <c r="E24">
        <f t="shared" si="0"/>
        <v>307.66666666666669</v>
      </c>
      <c r="F24">
        <f t="shared" si="0"/>
        <v>917</v>
      </c>
      <c r="G24">
        <f t="shared" si="0"/>
        <v>1379</v>
      </c>
      <c r="H24">
        <f t="shared" si="0"/>
        <v>2004.6</v>
      </c>
      <c r="I24">
        <f t="shared" si="0"/>
        <v>2694.75</v>
      </c>
      <c r="J24">
        <f t="shared" si="0"/>
        <v>3048.5</v>
      </c>
      <c r="K24">
        <f t="shared" si="0"/>
        <v>2942.4</v>
      </c>
      <c r="L24">
        <f t="shared" si="0"/>
        <v>2951.75</v>
      </c>
      <c r="M24">
        <f t="shared" si="0"/>
        <v>1486.8</v>
      </c>
      <c r="O24">
        <f t="shared" si="0"/>
        <v>270.33333333333331</v>
      </c>
      <c r="P24">
        <f t="shared" si="0"/>
        <v>263.33333333333331</v>
      </c>
      <c r="Q24">
        <f t="shared" si="0"/>
        <v>307.66666666666669</v>
      </c>
      <c r="R24">
        <f t="shared" si="0"/>
        <v>710.33333333333337</v>
      </c>
      <c r="S24">
        <f t="shared" si="0"/>
        <v>1192.3333333333333</v>
      </c>
      <c r="T24">
        <f t="shared" si="0"/>
        <v>2274.75</v>
      </c>
      <c r="U24">
        <f t="shared" si="0"/>
        <v>3782.75</v>
      </c>
      <c r="V24">
        <f t="shared" si="0"/>
        <v>5081.25</v>
      </c>
      <c r="W24">
        <f t="shared" si="0"/>
        <v>6247</v>
      </c>
      <c r="X24">
        <f t="shared" si="0"/>
        <v>6130.5</v>
      </c>
      <c r="Y24">
        <f t="shared" si="0"/>
        <v>6957.833333333333</v>
      </c>
      <c r="Z24">
        <f t="shared" si="0"/>
        <v>4474.666666666667</v>
      </c>
    </row>
    <row r="26" spans="1:26">
      <c r="A26" t="s">
        <v>134</v>
      </c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  <c r="O26" t="s">
        <v>48</v>
      </c>
      <c r="P26" t="s">
        <v>49</v>
      </c>
      <c r="Q26" t="s">
        <v>50</v>
      </c>
      <c r="R26" t="s">
        <v>51</v>
      </c>
      <c r="S26" t="s">
        <v>52</v>
      </c>
      <c r="T26" t="s">
        <v>53</v>
      </c>
      <c r="U26" t="s">
        <v>54</v>
      </c>
      <c r="V26" t="s">
        <v>55</v>
      </c>
      <c r="W26" t="s">
        <v>56</v>
      </c>
      <c r="X26" t="s">
        <v>57</v>
      </c>
      <c r="Y26" t="s">
        <v>58</v>
      </c>
      <c r="Z26" t="s">
        <v>59</v>
      </c>
    </row>
    <row r="27" spans="1:26">
      <c r="B27">
        <f>B2-218</f>
        <v>2209</v>
      </c>
      <c r="C27">
        <f>C2-260</f>
        <v>4313</v>
      </c>
      <c r="D27">
        <f>D2-302</f>
        <v>2271</v>
      </c>
      <c r="E27">
        <f>E2-308</f>
        <v>2386</v>
      </c>
      <c r="F27">
        <f>F2-917</f>
        <v>1942</v>
      </c>
      <c r="G27">
        <f t="shared" ref="G27:G33" si="1">G2-1379</f>
        <v>2318</v>
      </c>
      <c r="H27">
        <f t="shared" ref="H27:H33" si="2">H2-2005</f>
        <v>5397</v>
      </c>
      <c r="I27">
        <f>I2-2695</f>
        <v>3206</v>
      </c>
      <c r="J27">
        <f t="shared" ref="J27:J33" si="3">J2-3049</f>
        <v>3677</v>
      </c>
      <c r="K27">
        <f>K2-2942</f>
        <v>-121</v>
      </c>
      <c r="L27">
        <f t="shared" ref="L27:L34" si="4">L2-2952</f>
        <v>422</v>
      </c>
      <c r="M27">
        <f t="shared" ref="M27:M32" si="5">M2-1487</f>
        <v>570</v>
      </c>
      <c r="O27">
        <f>O2-270</f>
        <v>2378</v>
      </c>
      <c r="P27">
        <f>P2-263</f>
        <v>5671</v>
      </c>
      <c r="Q27">
        <f>Q2-308</f>
        <v>1974</v>
      </c>
      <c r="R27">
        <f>R2-710</f>
        <v>2305</v>
      </c>
      <c r="S27">
        <f>S2-1192</f>
        <v>3144</v>
      </c>
      <c r="T27">
        <f>T2-2275</f>
        <v>6366</v>
      </c>
      <c r="U27">
        <f>U2-3783</f>
        <v>9346</v>
      </c>
      <c r="V27">
        <f>V2-5081</f>
        <v>9330</v>
      </c>
      <c r="W27">
        <f>W2-6247</f>
        <v>8485</v>
      </c>
      <c r="X27">
        <f>X2-6131</f>
        <v>10222</v>
      </c>
      <c r="Y27">
        <f>Y2-6958</f>
        <v>8217</v>
      </c>
      <c r="Z27">
        <f>Z2-4475</f>
        <v>7892</v>
      </c>
    </row>
    <row r="28" spans="1:26">
      <c r="B28">
        <f>B3-218</f>
        <v>3078</v>
      </c>
      <c r="C28">
        <f>C3-260</f>
        <v>7092</v>
      </c>
      <c r="D28">
        <f>D3-302</f>
        <v>2440</v>
      </c>
      <c r="E28">
        <f>E3-308</f>
        <v>2449</v>
      </c>
      <c r="F28">
        <f>F3-917</f>
        <v>2390</v>
      </c>
      <c r="G28">
        <f t="shared" si="1"/>
        <v>2250</v>
      </c>
      <c r="H28">
        <f t="shared" si="2"/>
        <v>5394</v>
      </c>
      <c r="I28">
        <f>I3-2695</f>
        <v>3940</v>
      </c>
      <c r="J28">
        <f t="shared" si="3"/>
        <v>3002</v>
      </c>
      <c r="K28">
        <f>K3-2942</f>
        <v>-390</v>
      </c>
      <c r="L28">
        <f t="shared" si="4"/>
        <v>-601</v>
      </c>
      <c r="M28">
        <f t="shared" si="5"/>
        <v>306</v>
      </c>
      <c r="O28">
        <f>O3-270</f>
        <v>3383</v>
      </c>
      <c r="P28">
        <f>P3-263</f>
        <v>4819</v>
      </c>
      <c r="Q28">
        <f>Q3-308</f>
        <v>3408</v>
      </c>
      <c r="R28">
        <f>R3-710</f>
        <v>3573</v>
      </c>
      <c r="S28">
        <f>S3-1192</f>
        <v>3194</v>
      </c>
      <c r="T28">
        <f>T3-2275</f>
        <v>6252</v>
      </c>
      <c r="U28">
        <f>U3-3783</f>
        <v>8597</v>
      </c>
      <c r="V28">
        <f>V3-5081</f>
        <v>5838</v>
      </c>
      <c r="W28">
        <f>W3-6247</f>
        <v>8633</v>
      </c>
      <c r="X28">
        <f>X3-6131</f>
        <v>9359</v>
      </c>
      <c r="Y28">
        <f>Y3-6958</f>
        <v>8250</v>
      </c>
      <c r="Z28">
        <f>Z3-4475</f>
        <v>10940</v>
      </c>
    </row>
    <row r="29" spans="1:26">
      <c r="B29">
        <f>B4-218</f>
        <v>1887</v>
      </c>
      <c r="C29">
        <f>C4-260</f>
        <v>5948</v>
      </c>
      <c r="D29">
        <f>D4-302</f>
        <v>1656</v>
      </c>
      <c r="E29">
        <f>E4-308</f>
        <v>2567</v>
      </c>
      <c r="F29">
        <f>F4-917</f>
        <v>1569</v>
      </c>
      <c r="G29">
        <f t="shared" si="1"/>
        <v>3050</v>
      </c>
      <c r="H29">
        <f t="shared" si="2"/>
        <v>6130</v>
      </c>
      <c r="I29">
        <f>I4-2695</f>
        <v>3585</v>
      </c>
      <c r="J29">
        <f t="shared" si="3"/>
        <v>3357</v>
      </c>
      <c r="K29">
        <f>K4-2942</f>
        <v>880</v>
      </c>
      <c r="L29">
        <f t="shared" si="4"/>
        <v>-787</v>
      </c>
      <c r="M29">
        <f t="shared" si="5"/>
        <v>143</v>
      </c>
      <c r="O29">
        <f>O4-270</f>
        <v>2112</v>
      </c>
      <c r="P29">
        <f>P4-263</f>
        <v>4931</v>
      </c>
      <c r="Q29">
        <f>Q4-308</f>
        <v>2316</v>
      </c>
      <c r="R29">
        <f>R4-710</f>
        <v>2761</v>
      </c>
      <c r="S29">
        <f>S4-1192</f>
        <v>3369</v>
      </c>
      <c r="T29">
        <f>T4-2275</f>
        <v>4227</v>
      </c>
      <c r="U29">
        <f>U4-3783</f>
        <v>6673</v>
      </c>
      <c r="V29">
        <f>V4-5081</f>
        <v>9149</v>
      </c>
      <c r="W29">
        <f>W4-6247</f>
        <v>10094</v>
      </c>
      <c r="X29">
        <f>X4-6131</f>
        <v>9856</v>
      </c>
      <c r="Y29">
        <f>Y4-6958</f>
        <v>7914</v>
      </c>
      <c r="Z29">
        <f>Z4-4475</f>
        <v>9113</v>
      </c>
    </row>
    <row r="30" spans="1:26">
      <c r="B30">
        <f>B5-218</f>
        <v>2724</v>
      </c>
      <c r="C30">
        <f>C5-260</f>
        <v>2991</v>
      </c>
      <c r="D30">
        <f>D5-302</f>
        <v>1750</v>
      </c>
      <c r="E30">
        <f>E5-308</f>
        <v>2000</v>
      </c>
      <c r="F30">
        <f>F5-917</f>
        <v>2579</v>
      </c>
      <c r="G30">
        <f t="shared" si="1"/>
        <v>1614</v>
      </c>
      <c r="H30">
        <f t="shared" si="2"/>
        <v>3745</v>
      </c>
      <c r="I30">
        <f>I5-2695</f>
        <v>2071</v>
      </c>
      <c r="J30">
        <f t="shared" si="3"/>
        <v>2739</v>
      </c>
      <c r="K30">
        <f>K5-2942</f>
        <v>1778</v>
      </c>
      <c r="L30">
        <f t="shared" si="4"/>
        <v>946</v>
      </c>
      <c r="M30">
        <f t="shared" si="5"/>
        <v>78</v>
      </c>
      <c r="P30">
        <f>P5-263</f>
        <v>4744</v>
      </c>
      <c r="T30">
        <f>T5-2275</f>
        <v>6464</v>
      </c>
      <c r="Y30">
        <f>Y5-6958</f>
        <v>8885</v>
      </c>
    </row>
    <row r="31" spans="1:26">
      <c r="C31">
        <f>C6-260</f>
        <v>5120</v>
      </c>
      <c r="G31">
        <f t="shared" si="1"/>
        <v>2572</v>
      </c>
      <c r="H31">
        <f t="shared" si="2"/>
        <v>4905</v>
      </c>
      <c r="J31">
        <f t="shared" si="3"/>
        <v>2995</v>
      </c>
      <c r="L31">
        <f t="shared" si="4"/>
        <v>429</v>
      </c>
      <c r="M31">
        <f t="shared" si="5"/>
        <v>7</v>
      </c>
      <c r="Y31">
        <f>Y6-6958</f>
        <v>9352</v>
      </c>
    </row>
    <row r="32" spans="1:26">
      <c r="G32">
        <f t="shared" si="1"/>
        <v>2137</v>
      </c>
      <c r="H32">
        <f t="shared" si="2"/>
        <v>3766</v>
      </c>
      <c r="J32">
        <f t="shared" si="3"/>
        <v>2502</v>
      </c>
      <c r="L32">
        <f t="shared" si="4"/>
        <v>633</v>
      </c>
      <c r="M32">
        <f t="shared" si="5"/>
        <v>-196</v>
      </c>
    </row>
    <row r="33" spans="1:26">
      <c r="G33">
        <f t="shared" si="1"/>
        <v>3129</v>
      </c>
      <c r="H33">
        <f t="shared" si="2"/>
        <v>4577</v>
      </c>
      <c r="J33">
        <f t="shared" si="3"/>
        <v>2263</v>
      </c>
      <c r="L33">
        <f t="shared" si="4"/>
        <v>-129</v>
      </c>
    </row>
    <row r="34" spans="1:26">
      <c r="L34">
        <f t="shared" si="4"/>
        <v>-1143</v>
      </c>
    </row>
    <row r="36" spans="1:26">
      <c r="A36" t="s">
        <v>95</v>
      </c>
      <c r="B36">
        <f>AVERAGE(B27:B34)</f>
        <v>2474.5</v>
      </c>
      <c r="C36">
        <f t="shared" ref="C36:Z36" si="6">AVERAGE(C27:C34)</f>
        <v>5092.8</v>
      </c>
      <c r="D36">
        <f t="shared" si="6"/>
        <v>2029.25</v>
      </c>
      <c r="E36">
        <f t="shared" si="6"/>
        <v>2350.5</v>
      </c>
      <c r="F36">
        <f t="shared" si="6"/>
        <v>2120</v>
      </c>
      <c r="G36">
        <f t="shared" si="6"/>
        <v>2438.5714285714284</v>
      </c>
      <c r="H36">
        <f t="shared" si="6"/>
        <v>4844.8571428571431</v>
      </c>
      <c r="I36">
        <f t="shared" si="6"/>
        <v>3200.5</v>
      </c>
      <c r="J36">
        <f t="shared" si="6"/>
        <v>2933.5714285714284</v>
      </c>
      <c r="K36">
        <f t="shared" si="6"/>
        <v>536.75</v>
      </c>
      <c r="L36">
        <f t="shared" si="6"/>
        <v>-28.75</v>
      </c>
      <c r="M36">
        <f t="shared" si="6"/>
        <v>151.33333333333334</v>
      </c>
      <c r="O36">
        <f t="shared" si="6"/>
        <v>2624.3333333333335</v>
      </c>
      <c r="P36">
        <f t="shared" si="6"/>
        <v>5041.25</v>
      </c>
      <c r="Q36">
        <f t="shared" si="6"/>
        <v>2566</v>
      </c>
      <c r="R36">
        <f t="shared" si="6"/>
        <v>2879.6666666666665</v>
      </c>
      <c r="S36">
        <f t="shared" si="6"/>
        <v>3235.6666666666665</v>
      </c>
      <c r="T36">
        <f t="shared" si="6"/>
        <v>5827.25</v>
      </c>
      <c r="U36">
        <f t="shared" si="6"/>
        <v>8205.3333333333339</v>
      </c>
      <c r="V36">
        <f t="shared" si="6"/>
        <v>8105.666666666667</v>
      </c>
      <c r="W36">
        <f t="shared" si="6"/>
        <v>9070.6666666666661</v>
      </c>
      <c r="X36">
        <f t="shared" si="6"/>
        <v>9812.3333333333339</v>
      </c>
      <c r="Y36">
        <f t="shared" si="6"/>
        <v>8523.6</v>
      </c>
      <c r="Z36">
        <f t="shared" si="6"/>
        <v>9315</v>
      </c>
    </row>
    <row r="37" spans="1:26">
      <c r="A37" t="s">
        <v>14</v>
      </c>
      <c r="B37">
        <f>STDEV(B27:B34)</f>
        <v>529.81411834718028</v>
      </c>
      <c r="C37">
        <f t="shared" ref="C37:Z37" si="7">STDEV(C27:C34)</f>
        <v>1561.6144530581162</v>
      </c>
      <c r="D37">
        <f t="shared" si="7"/>
        <v>384.90464187033825</v>
      </c>
      <c r="E37">
        <f t="shared" si="7"/>
        <v>245.41461515837506</v>
      </c>
      <c r="F37">
        <f t="shared" si="7"/>
        <v>454.1901217185009</v>
      </c>
      <c r="G37">
        <f t="shared" si="7"/>
        <v>530.61280834611659</v>
      </c>
      <c r="H37">
        <f t="shared" si="7"/>
        <v>885.71956219626554</v>
      </c>
      <c r="I37">
        <f t="shared" si="7"/>
        <v>810.45275412368528</v>
      </c>
      <c r="J37">
        <f t="shared" si="7"/>
        <v>485.49145448808133</v>
      </c>
      <c r="K37">
        <f t="shared" si="7"/>
        <v>991.63547569995023</v>
      </c>
      <c r="L37">
        <f t="shared" si="7"/>
        <v>751.64367507863346</v>
      </c>
      <c r="M37">
        <f t="shared" si="7"/>
        <v>263.1058088805085</v>
      </c>
      <c r="O37">
        <f t="shared" si="7"/>
        <v>670.35090313457022</v>
      </c>
      <c r="P37">
        <f t="shared" si="7"/>
        <v>426.80704071043624</v>
      </c>
      <c r="Q37">
        <f t="shared" si="7"/>
        <v>748.97529999326412</v>
      </c>
      <c r="R37">
        <f t="shared" si="7"/>
        <v>642.27512277320375</v>
      </c>
      <c r="S37">
        <f t="shared" si="7"/>
        <v>118.1453906563152</v>
      </c>
      <c r="T37">
        <f t="shared" si="7"/>
        <v>1070.3449210418107</v>
      </c>
      <c r="U37">
        <f t="shared" si="7"/>
        <v>1378.8706731718273</v>
      </c>
      <c r="V37">
        <f t="shared" si="7"/>
        <v>1965.9410808397408</v>
      </c>
      <c r="W37">
        <f t="shared" si="7"/>
        <v>889.31677895637017</v>
      </c>
      <c r="X37">
        <f t="shared" si="7"/>
        <v>433.15393722478541</v>
      </c>
      <c r="Y37">
        <f t="shared" si="7"/>
        <v>582.52236008585965</v>
      </c>
      <c r="Z37">
        <f t="shared" si="7"/>
        <v>1534.0074967222292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opLeftCell="A11" zoomScale="75" zoomScaleNormal="75" zoomScalePageLayoutView="75" workbookViewId="0">
      <selection activeCell="A38" sqref="A38"/>
    </sheetView>
  </sheetViews>
  <sheetFormatPr baseColWidth="10" defaultRowHeight="15" x14ac:dyDescent="0"/>
  <sheetData>
    <row r="1" spans="1:26">
      <c r="A1" t="s">
        <v>98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2169</v>
      </c>
      <c r="C2">
        <v>4168</v>
      </c>
      <c r="D2">
        <v>2064</v>
      </c>
      <c r="E2">
        <v>2439</v>
      </c>
      <c r="F2">
        <v>2088</v>
      </c>
      <c r="G2">
        <v>3506</v>
      </c>
      <c r="H2">
        <v>5487</v>
      </c>
      <c r="I2">
        <v>5435</v>
      </c>
      <c r="J2">
        <v>4945</v>
      </c>
      <c r="K2">
        <v>3231</v>
      </c>
      <c r="L2">
        <v>3545</v>
      </c>
      <c r="M2">
        <v>2797</v>
      </c>
      <c r="O2">
        <v>2646</v>
      </c>
      <c r="P2">
        <v>4708</v>
      </c>
      <c r="Q2">
        <v>1937</v>
      </c>
      <c r="R2">
        <v>2764</v>
      </c>
      <c r="S2">
        <v>4102</v>
      </c>
      <c r="T2">
        <v>5113</v>
      </c>
      <c r="U2">
        <v>14217</v>
      </c>
      <c r="V2">
        <v>10792</v>
      </c>
      <c r="W2">
        <v>13085</v>
      </c>
      <c r="X2">
        <v>12124</v>
      </c>
      <c r="Y2">
        <v>9919</v>
      </c>
      <c r="Z2">
        <v>10935</v>
      </c>
    </row>
    <row r="3" spans="1:26">
      <c r="B3">
        <v>2194</v>
      </c>
      <c r="C3">
        <v>4344</v>
      </c>
      <c r="D3">
        <v>1756</v>
      </c>
      <c r="E3">
        <v>2102</v>
      </c>
      <c r="F3">
        <v>1852</v>
      </c>
      <c r="G3">
        <v>3068</v>
      </c>
      <c r="H3">
        <v>5835</v>
      </c>
      <c r="I3">
        <v>5416</v>
      </c>
      <c r="J3">
        <v>5152</v>
      </c>
      <c r="K3">
        <v>3302</v>
      </c>
      <c r="L3">
        <v>2199</v>
      </c>
      <c r="M3">
        <v>2373</v>
      </c>
      <c r="O3">
        <v>2319</v>
      </c>
      <c r="P3">
        <v>3418</v>
      </c>
      <c r="Q3">
        <v>2749</v>
      </c>
      <c r="R3">
        <v>2185</v>
      </c>
      <c r="S3">
        <v>3493</v>
      </c>
      <c r="T3">
        <v>5333</v>
      </c>
      <c r="U3">
        <v>10635</v>
      </c>
      <c r="V3">
        <v>11537</v>
      </c>
      <c r="W3">
        <v>11485</v>
      </c>
      <c r="X3">
        <v>11337</v>
      </c>
      <c r="Y3">
        <v>12334</v>
      </c>
      <c r="Z3">
        <v>11437</v>
      </c>
    </row>
    <row r="4" spans="1:26">
      <c r="B4">
        <v>2881</v>
      </c>
      <c r="C4">
        <v>3641</v>
      </c>
      <c r="D4">
        <v>1593</v>
      </c>
      <c r="E4">
        <v>2053</v>
      </c>
      <c r="F4">
        <v>2523</v>
      </c>
      <c r="G4">
        <v>3493</v>
      </c>
      <c r="H4">
        <v>5515</v>
      </c>
      <c r="I4">
        <v>5208</v>
      </c>
      <c r="J4">
        <v>5631</v>
      </c>
      <c r="K4">
        <v>3893</v>
      </c>
      <c r="L4">
        <v>2829</v>
      </c>
      <c r="M4">
        <v>2038</v>
      </c>
      <c r="O4">
        <v>2197</v>
      </c>
      <c r="P4">
        <v>4099</v>
      </c>
      <c r="Q4">
        <v>2783</v>
      </c>
      <c r="R4">
        <v>2058</v>
      </c>
      <c r="S4">
        <v>3764</v>
      </c>
      <c r="T4">
        <v>6189</v>
      </c>
      <c r="U4">
        <v>11677</v>
      </c>
      <c r="V4">
        <v>11764</v>
      </c>
      <c r="W4">
        <v>12396</v>
      </c>
      <c r="X4">
        <v>10914</v>
      </c>
      <c r="Y4">
        <v>11012</v>
      </c>
    </row>
    <row r="5" spans="1:26">
      <c r="B5">
        <v>2615</v>
      </c>
      <c r="C5">
        <v>4021</v>
      </c>
      <c r="D5">
        <v>1625</v>
      </c>
      <c r="E5">
        <v>1864</v>
      </c>
      <c r="F5">
        <v>1848</v>
      </c>
      <c r="G5">
        <v>3365</v>
      </c>
      <c r="H5">
        <v>6162</v>
      </c>
      <c r="I5">
        <v>5504</v>
      </c>
      <c r="J5">
        <v>4562</v>
      </c>
      <c r="K5">
        <v>3754</v>
      </c>
      <c r="L5">
        <v>3274</v>
      </c>
      <c r="M5">
        <v>2932</v>
      </c>
      <c r="O5">
        <v>2752</v>
      </c>
      <c r="P5">
        <v>3133</v>
      </c>
      <c r="Q5">
        <v>1736</v>
      </c>
      <c r="R5">
        <v>3236</v>
      </c>
      <c r="S5">
        <v>4009</v>
      </c>
      <c r="T5">
        <v>6154</v>
      </c>
      <c r="V5">
        <v>14084</v>
      </c>
      <c r="W5">
        <v>11068</v>
      </c>
      <c r="X5">
        <v>14287</v>
      </c>
      <c r="Y5">
        <v>10831</v>
      </c>
    </row>
    <row r="6" spans="1:26">
      <c r="B6">
        <v>2987</v>
      </c>
      <c r="C6">
        <v>4613</v>
      </c>
      <c r="H6">
        <v>4406</v>
      </c>
      <c r="I6">
        <v>5004</v>
      </c>
      <c r="J6">
        <v>8207</v>
      </c>
      <c r="K6">
        <v>2454</v>
      </c>
      <c r="L6">
        <v>3070</v>
      </c>
      <c r="O6">
        <v>2863</v>
      </c>
      <c r="Q6">
        <v>2260</v>
      </c>
      <c r="R6">
        <v>3489</v>
      </c>
      <c r="V6">
        <v>11391</v>
      </c>
      <c r="W6">
        <v>13275</v>
      </c>
      <c r="X6">
        <v>9980</v>
      </c>
      <c r="Y6">
        <v>11787</v>
      </c>
    </row>
    <row r="7" spans="1:26">
      <c r="C7">
        <v>4397</v>
      </c>
      <c r="H7">
        <v>5023</v>
      </c>
      <c r="J7">
        <v>4241</v>
      </c>
      <c r="K7">
        <v>3385</v>
      </c>
      <c r="L7">
        <v>4344</v>
      </c>
      <c r="O7">
        <v>2777</v>
      </c>
      <c r="V7">
        <v>9845</v>
      </c>
      <c r="W7">
        <v>14854</v>
      </c>
    </row>
    <row r="8" spans="1:26">
      <c r="J8">
        <v>5171</v>
      </c>
      <c r="K8">
        <v>4113</v>
      </c>
      <c r="L8">
        <v>3556</v>
      </c>
      <c r="W8">
        <v>12126</v>
      </c>
    </row>
    <row r="9" spans="1:26">
      <c r="K9">
        <v>3909</v>
      </c>
      <c r="W9">
        <v>14290</v>
      </c>
    </row>
    <row r="22" spans="1:26">
      <c r="A22" t="s">
        <v>99</v>
      </c>
      <c r="B22" t="s">
        <v>0</v>
      </c>
      <c r="C22" t="s">
        <v>1</v>
      </c>
      <c r="D22" t="s">
        <v>2</v>
      </c>
      <c r="E22" t="s">
        <v>3</v>
      </c>
      <c r="F22" t="s">
        <v>4</v>
      </c>
      <c r="G22" t="s">
        <v>5</v>
      </c>
      <c r="H22" t="s">
        <v>6</v>
      </c>
      <c r="I22" t="s">
        <v>7</v>
      </c>
      <c r="J22" t="s">
        <v>8</v>
      </c>
      <c r="K22" t="s">
        <v>9</v>
      </c>
      <c r="L22" t="s">
        <v>10</v>
      </c>
      <c r="M22" t="s">
        <v>11</v>
      </c>
      <c r="O22" t="s">
        <v>48</v>
      </c>
      <c r="P22" t="s">
        <v>49</v>
      </c>
      <c r="Q22" t="s">
        <v>50</v>
      </c>
      <c r="R22" t="s">
        <v>51</v>
      </c>
      <c r="S22" t="s">
        <v>52</v>
      </c>
      <c r="T22" t="s">
        <v>53</v>
      </c>
      <c r="U22" t="s">
        <v>54</v>
      </c>
      <c r="V22" t="s">
        <v>55</v>
      </c>
      <c r="W22" t="s">
        <v>56</v>
      </c>
      <c r="X22" t="s">
        <v>57</v>
      </c>
      <c r="Y22" t="s">
        <v>58</v>
      </c>
      <c r="Z22" t="s">
        <v>59</v>
      </c>
    </row>
    <row r="23" spans="1:26">
      <c r="B23">
        <v>160</v>
      </c>
      <c r="C23">
        <v>184</v>
      </c>
      <c r="D23">
        <v>209</v>
      </c>
      <c r="E23">
        <v>266</v>
      </c>
      <c r="F23">
        <v>524</v>
      </c>
      <c r="G23">
        <v>532</v>
      </c>
      <c r="H23">
        <v>743</v>
      </c>
      <c r="I23">
        <v>1172</v>
      </c>
      <c r="J23">
        <v>1606</v>
      </c>
      <c r="K23">
        <v>1695</v>
      </c>
      <c r="L23">
        <v>2080</v>
      </c>
      <c r="M23">
        <v>1487</v>
      </c>
      <c r="O23">
        <v>269</v>
      </c>
      <c r="P23">
        <v>295</v>
      </c>
      <c r="Q23">
        <v>443</v>
      </c>
      <c r="R23">
        <v>814</v>
      </c>
      <c r="S23">
        <v>1233</v>
      </c>
      <c r="T23">
        <v>2369</v>
      </c>
      <c r="U23">
        <v>2722</v>
      </c>
      <c r="V23">
        <v>4110</v>
      </c>
      <c r="W23">
        <v>6001</v>
      </c>
      <c r="X23">
        <v>3397</v>
      </c>
      <c r="Y23">
        <v>7519</v>
      </c>
      <c r="Z23">
        <v>7286</v>
      </c>
    </row>
    <row r="24" spans="1:26">
      <c r="B24">
        <v>137</v>
      </c>
      <c r="C24">
        <v>151</v>
      </c>
      <c r="D24">
        <v>185</v>
      </c>
      <c r="E24">
        <v>203</v>
      </c>
      <c r="F24">
        <v>558</v>
      </c>
      <c r="G24">
        <v>295</v>
      </c>
      <c r="H24">
        <v>937</v>
      </c>
      <c r="I24">
        <v>954</v>
      </c>
      <c r="J24">
        <v>1498</v>
      </c>
      <c r="K24">
        <v>1493</v>
      </c>
      <c r="L24">
        <v>1559</v>
      </c>
      <c r="M24">
        <v>1658</v>
      </c>
      <c r="O24">
        <v>325</v>
      </c>
      <c r="P24">
        <v>284</v>
      </c>
      <c r="Q24">
        <v>300</v>
      </c>
      <c r="R24">
        <v>755</v>
      </c>
      <c r="S24">
        <v>1042</v>
      </c>
      <c r="T24">
        <v>2315</v>
      </c>
      <c r="U24">
        <v>2756</v>
      </c>
      <c r="V24">
        <v>3963</v>
      </c>
      <c r="W24">
        <v>3118</v>
      </c>
      <c r="X24">
        <v>5434</v>
      </c>
      <c r="Y24">
        <v>7256</v>
      </c>
      <c r="Z24">
        <v>4497</v>
      </c>
    </row>
    <row r="25" spans="1:26">
      <c r="B25">
        <v>178</v>
      </c>
      <c r="C25">
        <v>226</v>
      </c>
      <c r="D25">
        <v>212</v>
      </c>
      <c r="E25">
        <v>285</v>
      </c>
      <c r="F25">
        <v>438</v>
      </c>
      <c r="G25">
        <v>591</v>
      </c>
      <c r="H25">
        <v>1165</v>
      </c>
      <c r="I25">
        <v>1001</v>
      </c>
      <c r="J25">
        <v>1251</v>
      </c>
      <c r="K25">
        <v>1445</v>
      </c>
      <c r="L25">
        <v>1410</v>
      </c>
      <c r="O25">
        <v>267</v>
      </c>
      <c r="P25">
        <v>292</v>
      </c>
      <c r="Q25">
        <v>326</v>
      </c>
      <c r="R25">
        <v>451</v>
      </c>
      <c r="S25">
        <v>1624</v>
      </c>
      <c r="T25">
        <v>1132</v>
      </c>
      <c r="W25">
        <v>2347</v>
      </c>
      <c r="X25">
        <v>5904</v>
      </c>
    </row>
    <row r="26" spans="1:26">
      <c r="G26">
        <v>991</v>
      </c>
      <c r="H26">
        <v>1481</v>
      </c>
      <c r="I26">
        <v>1092</v>
      </c>
      <c r="J26">
        <v>1376</v>
      </c>
      <c r="K26">
        <v>1505</v>
      </c>
      <c r="L26">
        <v>1463</v>
      </c>
      <c r="R26">
        <v>488</v>
      </c>
      <c r="S26">
        <v>1191</v>
      </c>
      <c r="W26">
        <v>5258</v>
      </c>
    </row>
    <row r="27" spans="1:26">
      <c r="G27">
        <v>956</v>
      </c>
      <c r="H27">
        <v>1045</v>
      </c>
      <c r="I27">
        <v>1282</v>
      </c>
      <c r="J27">
        <v>1295</v>
      </c>
      <c r="K27">
        <v>1318</v>
      </c>
      <c r="L27">
        <v>1404</v>
      </c>
    </row>
    <row r="28" spans="1:26">
      <c r="G28">
        <v>660</v>
      </c>
      <c r="H28">
        <v>657</v>
      </c>
      <c r="J28">
        <v>1025</v>
      </c>
      <c r="K28">
        <v>2138</v>
      </c>
      <c r="L28">
        <v>2024</v>
      </c>
    </row>
    <row r="29" spans="1:26">
      <c r="G29">
        <v>856</v>
      </c>
      <c r="H29">
        <v>1073</v>
      </c>
      <c r="J29">
        <v>1349</v>
      </c>
    </row>
    <row r="30" spans="1:26">
      <c r="J30">
        <v>1075</v>
      </c>
    </row>
    <row r="31" spans="1:26">
      <c r="J31">
        <v>1105</v>
      </c>
    </row>
    <row r="34" spans="1:26">
      <c r="A34" t="s">
        <v>95</v>
      </c>
      <c r="B34">
        <f>AVERAGE(B23:B32)</f>
        <v>158.33333333333334</v>
      </c>
      <c r="C34">
        <f t="shared" ref="C34:Z34" si="0">AVERAGE(C23:C32)</f>
        <v>187</v>
      </c>
      <c r="D34">
        <f t="shared" si="0"/>
        <v>202</v>
      </c>
      <c r="E34">
        <f t="shared" si="0"/>
        <v>251.33333333333334</v>
      </c>
      <c r="F34">
        <f t="shared" si="0"/>
        <v>506.66666666666669</v>
      </c>
      <c r="G34">
        <f t="shared" si="0"/>
        <v>697.28571428571433</v>
      </c>
      <c r="H34">
        <f t="shared" si="0"/>
        <v>1014.4285714285714</v>
      </c>
      <c r="I34">
        <f t="shared" si="0"/>
        <v>1100.2</v>
      </c>
      <c r="J34">
        <f t="shared" si="0"/>
        <v>1286.6666666666667</v>
      </c>
      <c r="K34">
        <f t="shared" si="0"/>
        <v>1599</v>
      </c>
      <c r="L34">
        <f t="shared" si="0"/>
        <v>1656.6666666666667</v>
      </c>
      <c r="M34">
        <f t="shared" si="0"/>
        <v>1572.5</v>
      </c>
      <c r="O34">
        <f t="shared" si="0"/>
        <v>287</v>
      </c>
      <c r="P34">
        <f t="shared" si="0"/>
        <v>290.33333333333331</v>
      </c>
      <c r="Q34">
        <f t="shared" si="0"/>
        <v>356.33333333333331</v>
      </c>
      <c r="R34">
        <f t="shared" si="0"/>
        <v>627</v>
      </c>
      <c r="S34">
        <f t="shared" si="0"/>
        <v>1272.5</v>
      </c>
      <c r="T34">
        <f t="shared" si="0"/>
        <v>1938.6666666666667</v>
      </c>
      <c r="U34">
        <f t="shared" si="0"/>
        <v>2739</v>
      </c>
      <c r="V34">
        <f t="shared" si="0"/>
        <v>4036.5</v>
      </c>
      <c r="W34">
        <f t="shared" si="0"/>
        <v>4181</v>
      </c>
      <c r="X34">
        <f t="shared" si="0"/>
        <v>4911.666666666667</v>
      </c>
      <c r="Y34">
        <f t="shared" si="0"/>
        <v>7387.5</v>
      </c>
      <c r="Z34">
        <f t="shared" si="0"/>
        <v>5891.5</v>
      </c>
    </row>
    <row r="36" spans="1:26">
      <c r="A36" t="s">
        <v>137</v>
      </c>
      <c r="B36" t="s">
        <v>0</v>
      </c>
      <c r="C36" t="s">
        <v>1</v>
      </c>
      <c r="D36" t="s">
        <v>2</v>
      </c>
      <c r="E36" t="s">
        <v>3</v>
      </c>
      <c r="F36" t="s">
        <v>4</v>
      </c>
      <c r="G36" t="s">
        <v>5</v>
      </c>
      <c r="H36" t="s">
        <v>6</v>
      </c>
      <c r="I36" t="s">
        <v>7</v>
      </c>
      <c r="J36" t="s">
        <v>8</v>
      </c>
      <c r="K36" t="s">
        <v>9</v>
      </c>
      <c r="L36" t="s">
        <v>10</v>
      </c>
      <c r="M36" t="s">
        <v>11</v>
      </c>
      <c r="O36" t="s">
        <v>48</v>
      </c>
      <c r="P36" t="s">
        <v>49</v>
      </c>
      <c r="Q36" t="s">
        <v>50</v>
      </c>
      <c r="R36" t="s">
        <v>51</v>
      </c>
      <c r="S36" t="s">
        <v>52</v>
      </c>
      <c r="T36" t="s">
        <v>53</v>
      </c>
      <c r="U36" t="s">
        <v>54</v>
      </c>
      <c r="V36" t="s">
        <v>55</v>
      </c>
      <c r="W36" t="s">
        <v>56</v>
      </c>
      <c r="X36" t="s">
        <v>57</v>
      </c>
      <c r="Y36" t="s">
        <v>58</v>
      </c>
      <c r="Z36" t="s">
        <v>59</v>
      </c>
    </row>
    <row r="37" spans="1:26">
      <c r="B37">
        <f>B2-158</f>
        <v>2011</v>
      </c>
      <c r="C37">
        <f t="shared" ref="C37:C42" si="1">C2-187</f>
        <v>3981</v>
      </c>
      <c r="D37">
        <f>D2-202</f>
        <v>1862</v>
      </c>
      <c r="E37">
        <f t="shared" ref="E37:F40" si="2">E2-507</f>
        <v>1932</v>
      </c>
      <c r="F37">
        <f t="shared" si="2"/>
        <v>1581</v>
      </c>
      <c r="G37">
        <f>G2-698</f>
        <v>2808</v>
      </c>
      <c r="H37">
        <f t="shared" ref="H37:H42" si="3">H2-1014</f>
        <v>4473</v>
      </c>
      <c r="I37">
        <f>I2-1100</f>
        <v>4335</v>
      </c>
      <c r="J37">
        <f t="shared" ref="J37:J43" si="4">J2-1287</f>
        <v>3658</v>
      </c>
      <c r="K37">
        <f t="shared" ref="K37:K44" si="5">K2-1599</f>
        <v>1632</v>
      </c>
      <c r="L37">
        <f t="shared" ref="L37:L43" si="6">L2-1657</f>
        <v>1888</v>
      </c>
      <c r="M37">
        <f>M2-1573</f>
        <v>1224</v>
      </c>
      <c r="O37">
        <f t="shared" ref="O37:O42" si="7">O2-287</f>
        <v>2359</v>
      </c>
      <c r="P37">
        <f>P2-290</f>
        <v>4418</v>
      </c>
      <c r="Q37">
        <f>Q2-356</f>
        <v>1581</v>
      </c>
      <c r="R37">
        <f>R2-627</f>
        <v>2137</v>
      </c>
      <c r="S37">
        <f>S2-1273</f>
        <v>2829</v>
      </c>
      <c r="T37">
        <f>T2-1939</f>
        <v>3174</v>
      </c>
      <c r="U37">
        <f>U2-2739</f>
        <v>11478</v>
      </c>
      <c r="V37">
        <f t="shared" ref="V37:V42" si="8">V2-4037</f>
        <v>6755</v>
      </c>
      <c r="W37">
        <f t="shared" ref="W37:W44" si="9">W2-4181</f>
        <v>8904</v>
      </c>
      <c r="X37">
        <f>X2-4912</f>
        <v>7212</v>
      </c>
      <c r="Y37">
        <f>Y2-7388</f>
        <v>2531</v>
      </c>
      <c r="Z37">
        <f>Z2-5892</f>
        <v>5043</v>
      </c>
    </row>
    <row r="38" spans="1:26">
      <c r="B38">
        <f>B3-158</f>
        <v>2036</v>
      </c>
      <c r="C38">
        <f t="shared" si="1"/>
        <v>4157</v>
      </c>
      <c r="D38">
        <f>D3-202</f>
        <v>1554</v>
      </c>
      <c r="E38">
        <f t="shared" si="2"/>
        <v>1595</v>
      </c>
      <c r="F38">
        <f t="shared" si="2"/>
        <v>1345</v>
      </c>
      <c r="G38">
        <f>G3-698</f>
        <v>2370</v>
      </c>
      <c r="H38">
        <f t="shared" si="3"/>
        <v>4821</v>
      </c>
      <c r="I38">
        <f>I3-1100</f>
        <v>4316</v>
      </c>
      <c r="J38">
        <f t="shared" si="4"/>
        <v>3865</v>
      </c>
      <c r="K38">
        <f t="shared" si="5"/>
        <v>1703</v>
      </c>
      <c r="L38">
        <f t="shared" si="6"/>
        <v>542</v>
      </c>
      <c r="M38">
        <f>M3-1573</f>
        <v>800</v>
      </c>
      <c r="O38">
        <f t="shared" si="7"/>
        <v>2032</v>
      </c>
      <c r="P38">
        <f>P3-290</f>
        <v>3128</v>
      </c>
      <c r="Q38">
        <f>Q3-356</f>
        <v>2393</v>
      </c>
      <c r="R38">
        <f>R3-627</f>
        <v>1558</v>
      </c>
      <c r="S38">
        <f>S3-1273</f>
        <v>2220</v>
      </c>
      <c r="T38">
        <f>T3-1939</f>
        <v>3394</v>
      </c>
      <c r="U38">
        <f>U3-2739</f>
        <v>7896</v>
      </c>
      <c r="V38">
        <f t="shared" si="8"/>
        <v>7500</v>
      </c>
      <c r="W38">
        <f t="shared" si="9"/>
        <v>7304</v>
      </c>
      <c r="X38">
        <f>X3-4912</f>
        <v>6425</v>
      </c>
      <c r="Y38">
        <f>Y3-7388</f>
        <v>4946</v>
      </c>
      <c r="Z38">
        <f>Z3-5892</f>
        <v>5545</v>
      </c>
    </row>
    <row r="39" spans="1:26">
      <c r="B39">
        <f>B4-158</f>
        <v>2723</v>
      </c>
      <c r="C39">
        <f t="shared" si="1"/>
        <v>3454</v>
      </c>
      <c r="D39">
        <f>D4-202</f>
        <v>1391</v>
      </c>
      <c r="E39">
        <f t="shared" si="2"/>
        <v>1546</v>
      </c>
      <c r="F39">
        <f t="shared" si="2"/>
        <v>2016</v>
      </c>
      <c r="G39">
        <f>G4-698</f>
        <v>2795</v>
      </c>
      <c r="H39">
        <f t="shared" si="3"/>
        <v>4501</v>
      </c>
      <c r="I39">
        <f>I4-1100</f>
        <v>4108</v>
      </c>
      <c r="J39">
        <f t="shared" si="4"/>
        <v>4344</v>
      </c>
      <c r="K39">
        <f t="shared" si="5"/>
        <v>2294</v>
      </c>
      <c r="L39">
        <f t="shared" si="6"/>
        <v>1172</v>
      </c>
      <c r="M39">
        <f>M4-1573</f>
        <v>465</v>
      </c>
      <c r="O39">
        <f t="shared" si="7"/>
        <v>1910</v>
      </c>
      <c r="P39">
        <f>P4-290</f>
        <v>3809</v>
      </c>
      <c r="Q39">
        <f>Q4-356</f>
        <v>2427</v>
      </c>
      <c r="R39">
        <f>R4-627</f>
        <v>1431</v>
      </c>
      <c r="S39">
        <f>S4-1273</f>
        <v>2491</v>
      </c>
      <c r="T39">
        <f>T4-1939</f>
        <v>4250</v>
      </c>
      <c r="U39">
        <f>U4-2739</f>
        <v>8938</v>
      </c>
      <c r="V39">
        <f t="shared" si="8"/>
        <v>7727</v>
      </c>
      <c r="W39">
        <f t="shared" si="9"/>
        <v>8215</v>
      </c>
      <c r="X39">
        <f>X4-4912</f>
        <v>6002</v>
      </c>
      <c r="Y39">
        <f>Y4-7388</f>
        <v>3624</v>
      </c>
    </row>
    <row r="40" spans="1:26">
      <c r="B40">
        <f>B5-158</f>
        <v>2457</v>
      </c>
      <c r="C40">
        <f t="shared" si="1"/>
        <v>3834</v>
      </c>
      <c r="D40">
        <f>D5-202</f>
        <v>1423</v>
      </c>
      <c r="E40">
        <f t="shared" si="2"/>
        <v>1357</v>
      </c>
      <c r="F40">
        <f t="shared" si="2"/>
        <v>1341</v>
      </c>
      <c r="G40">
        <f>G5-698</f>
        <v>2667</v>
      </c>
      <c r="H40">
        <f t="shared" si="3"/>
        <v>5148</v>
      </c>
      <c r="I40">
        <f>I5-1100</f>
        <v>4404</v>
      </c>
      <c r="J40">
        <f t="shared" si="4"/>
        <v>3275</v>
      </c>
      <c r="K40">
        <f t="shared" si="5"/>
        <v>2155</v>
      </c>
      <c r="L40">
        <f t="shared" si="6"/>
        <v>1617</v>
      </c>
      <c r="M40">
        <f>M5-1573</f>
        <v>1359</v>
      </c>
      <c r="O40">
        <f t="shared" si="7"/>
        <v>2465</v>
      </c>
      <c r="P40">
        <f>P5-290</f>
        <v>2843</v>
      </c>
      <c r="Q40">
        <f>Q5-356</f>
        <v>1380</v>
      </c>
      <c r="R40">
        <f>R5-627</f>
        <v>2609</v>
      </c>
      <c r="S40">
        <f>S5-1273</f>
        <v>2736</v>
      </c>
      <c r="T40">
        <f>T5-1939</f>
        <v>4215</v>
      </c>
      <c r="V40">
        <f t="shared" si="8"/>
        <v>10047</v>
      </c>
      <c r="W40">
        <f t="shared" si="9"/>
        <v>6887</v>
      </c>
      <c r="X40">
        <f>X5-4912</f>
        <v>9375</v>
      </c>
      <c r="Y40">
        <f>Y5-7388</f>
        <v>3443</v>
      </c>
    </row>
    <row r="41" spans="1:26">
      <c r="B41">
        <f>B6-158</f>
        <v>2829</v>
      </c>
      <c r="C41">
        <f t="shared" si="1"/>
        <v>4426</v>
      </c>
      <c r="H41">
        <f t="shared" si="3"/>
        <v>3392</v>
      </c>
      <c r="I41">
        <f>I6-1100</f>
        <v>3904</v>
      </c>
      <c r="J41">
        <f t="shared" si="4"/>
        <v>6920</v>
      </c>
      <c r="K41">
        <f t="shared" si="5"/>
        <v>855</v>
      </c>
      <c r="L41">
        <f t="shared" si="6"/>
        <v>1413</v>
      </c>
      <c r="O41">
        <f t="shared" si="7"/>
        <v>2576</v>
      </c>
      <c r="Q41">
        <f>Q6-356</f>
        <v>1904</v>
      </c>
      <c r="R41">
        <f>R6-627</f>
        <v>2862</v>
      </c>
      <c r="V41">
        <f t="shared" si="8"/>
        <v>7354</v>
      </c>
      <c r="W41">
        <f t="shared" si="9"/>
        <v>9094</v>
      </c>
      <c r="X41">
        <f>X6-4912</f>
        <v>5068</v>
      </c>
      <c r="Y41">
        <f>Y6-7388</f>
        <v>4399</v>
      </c>
    </row>
    <row r="42" spans="1:26">
      <c r="C42">
        <f t="shared" si="1"/>
        <v>4210</v>
      </c>
      <c r="H42">
        <f t="shared" si="3"/>
        <v>4009</v>
      </c>
      <c r="J42">
        <f t="shared" si="4"/>
        <v>2954</v>
      </c>
      <c r="K42">
        <f t="shared" si="5"/>
        <v>1786</v>
      </c>
      <c r="L42">
        <f t="shared" si="6"/>
        <v>2687</v>
      </c>
      <c r="O42">
        <f t="shared" si="7"/>
        <v>2490</v>
      </c>
      <c r="V42">
        <f t="shared" si="8"/>
        <v>5808</v>
      </c>
      <c r="W42">
        <f t="shared" si="9"/>
        <v>10673</v>
      </c>
    </row>
    <row r="43" spans="1:26">
      <c r="J43">
        <f t="shared" si="4"/>
        <v>3884</v>
      </c>
      <c r="K43">
        <f t="shared" si="5"/>
        <v>2514</v>
      </c>
      <c r="L43">
        <f t="shared" si="6"/>
        <v>1899</v>
      </c>
      <c r="W43">
        <f t="shared" si="9"/>
        <v>7945</v>
      </c>
    </row>
    <row r="44" spans="1:26">
      <c r="K44">
        <f t="shared" si="5"/>
        <v>2310</v>
      </c>
      <c r="W44">
        <f t="shared" si="9"/>
        <v>10109</v>
      </c>
    </row>
    <row r="47" spans="1:26">
      <c r="A47" t="s">
        <v>95</v>
      </c>
      <c r="B47">
        <f>AVERAGE(B37:B45)</f>
        <v>2411.1999999999998</v>
      </c>
      <c r="C47">
        <f t="shared" ref="C47:Z47" si="10">AVERAGE(C37:C45)</f>
        <v>4010.3333333333335</v>
      </c>
      <c r="D47">
        <f t="shared" si="10"/>
        <v>1557.5</v>
      </c>
      <c r="E47">
        <f t="shared" si="10"/>
        <v>1607.5</v>
      </c>
      <c r="F47">
        <f t="shared" si="10"/>
        <v>1570.75</v>
      </c>
      <c r="G47">
        <f t="shared" si="10"/>
        <v>2660</v>
      </c>
      <c r="H47">
        <f t="shared" si="10"/>
        <v>4390.666666666667</v>
      </c>
      <c r="I47">
        <f t="shared" si="10"/>
        <v>4213.3999999999996</v>
      </c>
      <c r="J47">
        <f t="shared" si="10"/>
        <v>4128.5714285714284</v>
      </c>
      <c r="K47">
        <f t="shared" si="10"/>
        <v>1906.125</v>
      </c>
      <c r="L47">
        <f t="shared" si="10"/>
        <v>1602.5714285714287</v>
      </c>
      <c r="M47">
        <f t="shared" si="10"/>
        <v>962</v>
      </c>
      <c r="O47">
        <f t="shared" si="10"/>
        <v>2305.3333333333335</v>
      </c>
      <c r="P47">
        <f t="shared" si="10"/>
        <v>3549.5</v>
      </c>
      <c r="Q47">
        <f t="shared" si="10"/>
        <v>1937</v>
      </c>
      <c r="R47">
        <f t="shared" si="10"/>
        <v>2119.4</v>
      </c>
      <c r="S47">
        <f t="shared" si="10"/>
        <v>2569</v>
      </c>
      <c r="T47">
        <f t="shared" si="10"/>
        <v>3758.25</v>
      </c>
      <c r="U47">
        <f t="shared" si="10"/>
        <v>9437.3333333333339</v>
      </c>
      <c r="V47">
        <f t="shared" si="10"/>
        <v>7531.833333333333</v>
      </c>
      <c r="W47">
        <f t="shared" si="10"/>
        <v>8641.375</v>
      </c>
      <c r="X47">
        <f t="shared" si="10"/>
        <v>6816.4</v>
      </c>
      <c r="Y47">
        <f t="shared" si="10"/>
        <v>3788.6</v>
      </c>
      <c r="Z47">
        <f t="shared" si="10"/>
        <v>5294</v>
      </c>
    </row>
    <row r="48" spans="1:26">
      <c r="A48" t="s">
        <v>14</v>
      </c>
      <c r="B48">
        <f>STDEV(B37:B45)</f>
        <v>379.08073018817532</v>
      </c>
      <c r="C48">
        <f t="shared" ref="C48:Z48" si="11">STDEV(C37:C45)</f>
        <v>339.29849198996845</v>
      </c>
      <c r="D48">
        <f t="shared" si="11"/>
        <v>214.89920117735818</v>
      </c>
      <c r="E48">
        <f t="shared" si="11"/>
        <v>239.43614319201407</v>
      </c>
      <c r="F48">
        <f t="shared" si="11"/>
        <v>317.3330269606364</v>
      </c>
      <c r="G48">
        <f t="shared" si="11"/>
        <v>203.53378097996412</v>
      </c>
      <c r="H48">
        <f t="shared" si="11"/>
        <v>619.78985686010196</v>
      </c>
      <c r="I48">
        <f t="shared" si="11"/>
        <v>205.23108926281125</v>
      </c>
      <c r="J48">
        <f t="shared" si="11"/>
        <v>1310.0513803082761</v>
      </c>
      <c r="K48">
        <f t="shared" si="11"/>
        <v>531.93862092216182</v>
      </c>
      <c r="L48">
        <f t="shared" si="11"/>
        <v>669.7852534314901</v>
      </c>
      <c r="M48">
        <f t="shared" si="11"/>
        <v>408.04656597011081</v>
      </c>
      <c r="O48">
        <f t="shared" si="11"/>
        <v>270.82663581462299</v>
      </c>
      <c r="P48">
        <f t="shared" si="11"/>
        <v>706.73828253463103</v>
      </c>
      <c r="Q48">
        <f t="shared" si="11"/>
        <v>470.66707979207553</v>
      </c>
      <c r="R48">
        <f t="shared" si="11"/>
        <v>628.59708876195077</v>
      </c>
      <c r="S48">
        <f t="shared" si="11"/>
        <v>272.86993238537661</v>
      </c>
      <c r="T48">
        <f t="shared" si="11"/>
        <v>555.11702970334704</v>
      </c>
      <c r="U48">
        <f t="shared" si="11"/>
        <v>1842.4661009997792</v>
      </c>
      <c r="V48">
        <f t="shared" si="11"/>
        <v>1412.2225627239718</v>
      </c>
      <c r="W48">
        <f t="shared" si="11"/>
        <v>1314.1212096193519</v>
      </c>
      <c r="X48">
        <f t="shared" si="11"/>
        <v>1626.0594392579865</v>
      </c>
      <c r="Y48">
        <f t="shared" si="11"/>
        <v>927.39597799429816</v>
      </c>
      <c r="Z48">
        <f t="shared" si="11"/>
        <v>354.96760415564688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5"/>
  <sheetViews>
    <sheetView tabSelected="1" topLeftCell="A256" workbookViewId="0">
      <selection activeCell="K287" sqref="K287"/>
    </sheetView>
  </sheetViews>
  <sheetFormatPr baseColWidth="10" defaultRowHeight="15" x14ac:dyDescent="0"/>
  <sheetData>
    <row r="1" spans="1:7">
      <c r="A1" t="s">
        <v>16</v>
      </c>
      <c r="B1" t="s">
        <v>14</v>
      </c>
      <c r="C1" t="s">
        <v>15</v>
      </c>
      <c r="D1" t="s">
        <v>20</v>
      </c>
      <c r="E1" t="s">
        <v>17</v>
      </c>
      <c r="F1" t="s">
        <v>73</v>
      </c>
      <c r="G1" t="s">
        <v>101</v>
      </c>
    </row>
    <row r="2" spans="1:7">
      <c r="A2">
        <v>2361.8333333333335</v>
      </c>
      <c r="B2">
        <v>300.10559252814068</v>
      </c>
      <c r="C2">
        <v>1</v>
      </c>
      <c r="D2" t="s">
        <v>19</v>
      </c>
      <c r="E2">
        <v>1</v>
      </c>
      <c r="F2" t="s">
        <v>74</v>
      </c>
      <c r="G2" t="s">
        <v>90</v>
      </c>
    </row>
    <row r="3" spans="1:7">
      <c r="A3">
        <v>6059</v>
      </c>
      <c r="B3">
        <v>1609.9583845553275</v>
      </c>
      <c r="C3">
        <v>2</v>
      </c>
      <c r="D3" t="s">
        <v>19</v>
      </c>
      <c r="E3">
        <v>1</v>
      </c>
      <c r="F3" t="s">
        <v>74</v>
      </c>
      <c r="G3" t="s">
        <v>90</v>
      </c>
    </row>
    <row r="4" spans="1:7">
      <c r="A4">
        <v>1161.5</v>
      </c>
      <c r="B4">
        <v>254.20127008786898</v>
      </c>
      <c r="C4">
        <v>3</v>
      </c>
      <c r="D4" t="s">
        <v>19</v>
      </c>
      <c r="E4">
        <v>1</v>
      </c>
      <c r="F4" t="s">
        <v>74</v>
      </c>
      <c r="G4" t="s">
        <v>90</v>
      </c>
    </row>
    <row r="5" spans="1:7">
      <c r="A5">
        <v>1444.375</v>
      </c>
      <c r="B5">
        <v>211.29054978529311</v>
      </c>
      <c r="C5">
        <v>4</v>
      </c>
      <c r="D5" t="s">
        <v>19</v>
      </c>
      <c r="E5">
        <v>1</v>
      </c>
      <c r="F5" t="s">
        <v>74</v>
      </c>
      <c r="G5" t="s">
        <v>90</v>
      </c>
    </row>
    <row r="6" spans="1:7">
      <c r="A6">
        <v>1525.8888888888889</v>
      </c>
      <c r="B6">
        <v>610.56458389846932</v>
      </c>
      <c r="C6">
        <v>5</v>
      </c>
      <c r="D6" t="s">
        <v>19</v>
      </c>
      <c r="E6">
        <v>1</v>
      </c>
      <c r="F6" t="s">
        <v>74</v>
      </c>
      <c r="G6" t="s">
        <v>90</v>
      </c>
    </row>
    <row r="7" spans="1:7">
      <c r="A7">
        <v>2765.5714285714284</v>
      </c>
      <c r="B7">
        <v>444.37349403154383</v>
      </c>
      <c r="C7">
        <v>6</v>
      </c>
      <c r="D7" t="s">
        <v>19</v>
      </c>
      <c r="E7">
        <v>1</v>
      </c>
      <c r="F7" t="s">
        <v>74</v>
      </c>
      <c r="G7" t="s">
        <v>90</v>
      </c>
    </row>
    <row r="8" spans="1:7">
      <c r="A8">
        <v>4099.166666666667</v>
      </c>
      <c r="B8">
        <v>596.41643728745908</v>
      </c>
      <c r="C8">
        <v>7</v>
      </c>
      <c r="D8" t="s">
        <v>19</v>
      </c>
      <c r="E8">
        <v>1</v>
      </c>
      <c r="F8" t="s">
        <v>74</v>
      </c>
      <c r="G8" t="s">
        <v>90</v>
      </c>
    </row>
    <row r="9" spans="1:7">
      <c r="A9">
        <v>4799.8571428571431</v>
      </c>
      <c r="B9">
        <v>1103.1482819041751</v>
      </c>
      <c r="C9">
        <v>8</v>
      </c>
      <c r="D9" t="s">
        <v>19</v>
      </c>
      <c r="E9">
        <v>1</v>
      </c>
      <c r="F9" t="s">
        <v>74</v>
      </c>
      <c r="G9" t="s">
        <v>90</v>
      </c>
    </row>
    <row r="10" spans="1:7">
      <c r="A10">
        <v>2079.5714285714284</v>
      </c>
      <c r="B10">
        <v>576.39258980526222</v>
      </c>
      <c r="C10">
        <v>9</v>
      </c>
      <c r="D10" t="s">
        <v>19</v>
      </c>
      <c r="E10">
        <v>1</v>
      </c>
      <c r="F10" t="s">
        <v>74</v>
      </c>
      <c r="G10" t="s">
        <v>90</v>
      </c>
    </row>
    <row r="11" spans="1:7">
      <c r="A11">
        <v>909.81818181818187</v>
      </c>
      <c r="B11">
        <v>445.19317563992792</v>
      </c>
      <c r="C11">
        <v>10</v>
      </c>
      <c r="D11" t="s">
        <v>19</v>
      </c>
      <c r="E11">
        <v>1</v>
      </c>
      <c r="F11" t="s">
        <v>74</v>
      </c>
      <c r="G11" t="s">
        <v>90</v>
      </c>
    </row>
    <row r="12" spans="1:7">
      <c r="A12">
        <v>-36.571428571428569</v>
      </c>
      <c r="B12">
        <v>118.75304507373997</v>
      </c>
      <c r="C12">
        <v>11</v>
      </c>
      <c r="D12" t="s">
        <v>19</v>
      </c>
      <c r="E12">
        <v>1</v>
      </c>
      <c r="F12" t="s">
        <v>74</v>
      </c>
      <c r="G12" t="s">
        <v>90</v>
      </c>
    </row>
    <row r="13" spans="1:7">
      <c r="A13">
        <v>527</v>
      </c>
      <c r="B13">
        <v>260.64535292231858</v>
      </c>
      <c r="C13">
        <v>12</v>
      </c>
      <c r="D13" t="s">
        <v>19</v>
      </c>
      <c r="E13">
        <v>1</v>
      </c>
      <c r="F13" t="s">
        <v>74</v>
      </c>
      <c r="G13" t="s">
        <v>90</v>
      </c>
    </row>
    <row r="14" spans="1:7">
      <c r="A14">
        <v>1885.5</v>
      </c>
      <c r="B14">
        <v>275.46869150594955</v>
      </c>
      <c r="C14">
        <v>1</v>
      </c>
      <c r="D14" t="s">
        <v>19</v>
      </c>
      <c r="E14">
        <v>2</v>
      </c>
      <c r="F14" t="s">
        <v>74</v>
      </c>
      <c r="G14" t="s">
        <v>90</v>
      </c>
    </row>
    <row r="15" spans="1:7">
      <c r="A15">
        <v>4247.666666666667</v>
      </c>
      <c r="B15">
        <v>1045.921157003082</v>
      </c>
      <c r="C15">
        <v>2</v>
      </c>
      <c r="D15" t="s">
        <v>19</v>
      </c>
      <c r="E15">
        <v>2</v>
      </c>
      <c r="F15" t="s">
        <v>74</v>
      </c>
      <c r="G15" t="s">
        <v>90</v>
      </c>
    </row>
    <row r="16" spans="1:7">
      <c r="A16">
        <v>838.25</v>
      </c>
      <c r="B16">
        <v>138.25911663732461</v>
      </c>
      <c r="C16">
        <v>3</v>
      </c>
      <c r="D16" t="s">
        <v>19</v>
      </c>
      <c r="E16">
        <v>2</v>
      </c>
      <c r="F16" t="s">
        <v>74</v>
      </c>
      <c r="G16" t="s">
        <v>90</v>
      </c>
    </row>
    <row r="17" spans="1:7">
      <c r="A17">
        <v>1216</v>
      </c>
      <c r="B17">
        <v>329.68166464030116</v>
      </c>
      <c r="C17">
        <v>4</v>
      </c>
      <c r="D17" t="s">
        <v>19</v>
      </c>
      <c r="E17">
        <v>2</v>
      </c>
      <c r="F17" t="s">
        <v>74</v>
      </c>
      <c r="G17" t="s">
        <v>90</v>
      </c>
    </row>
    <row r="18" spans="1:7">
      <c r="A18">
        <v>1168</v>
      </c>
      <c r="B18">
        <v>266.6690833223829</v>
      </c>
      <c r="C18">
        <v>5</v>
      </c>
      <c r="D18" t="s">
        <v>19</v>
      </c>
      <c r="E18">
        <v>2</v>
      </c>
      <c r="F18" t="s">
        <v>74</v>
      </c>
      <c r="G18" t="s">
        <v>90</v>
      </c>
    </row>
    <row r="19" spans="1:7">
      <c r="A19">
        <v>1434</v>
      </c>
      <c r="B19">
        <v>674.78500279718719</v>
      </c>
      <c r="C19">
        <v>6</v>
      </c>
      <c r="D19" t="s">
        <v>19</v>
      </c>
      <c r="E19">
        <v>2</v>
      </c>
      <c r="F19" t="s">
        <v>74</v>
      </c>
      <c r="G19" t="s">
        <v>90</v>
      </c>
    </row>
    <row r="20" spans="1:7">
      <c r="A20">
        <v>1767.3333333333333</v>
      </c>
      <c r="B20">
        <v>731.65992783532977</v>
      </c>
      <c r="C20">
        <v>7</v>
      </c>
      <c r="D20" t="s">
        <v>19</v>
      </c>
      <c r="E20">
        <v>2</v>
      </c>
      <c r="F20" t="s">
        <v>74</v>
      </c>
      <c r="G20" t="s">
        <v>90</v>
      </c>
    </row>
    <row r="21" spans="1:7">
      <c r="A21">
        <v>2609</v>
      </c>
      <c r="B21">
        <v>1576.3380030945141</v>
      </c>
      <c r="C21">
        <v>8</v>
      </c>
      <c r="D21" t="s">
        <v>19</v>
      </c>
      <c r="E21">
        <v>2</v>
      </c>
      <c r="F21" t="s">
        <v>74</v>
      </c>
      <c r="G21" t="s">
        <v>90</v>
      </c>
    </row>
    <row r="22" spans="1:7">
      <c r="A22">
        <v>1720</v>
      </c>
      <c r="B22">
        <v>1036.1254750270355</v>
      </c>
      <c r="C22">
        <v>9</v>
      </c>
      <c r="D22" t="s">
        <v>19</v>
      </c>
      <c r="E22">
        <v>2</v>
      </c>
      <c r="F22" t="s">
        <v>74</v>
      </c>
      <c r="G22" t="s">
        <v>90</v>
      </c>
    </row>
    <row r="23" spans="1:7">
      <c r="A23">
        <v>443.8</v>
      </c>
      <c r="B23">
        <v>910.62269903621439</v>
      </c>
      <c r="C23">
        <v>10</v>
      </c>
      <c r="D23" t="s">
        <v>19</v>
      </c>
      <c r="E23">
        <v>2</v>
      </c>
      <c r="F23" t="s">
        <v>74</v>
      </c>
      <c r="G23" t="s">
        <v>90</v>
      </c>
    </row>
    <row r="24" spans="1:7">
      <c r="A24">
        <v>529.75</v>
      </c>
      <c r="B24">
        <v>589.16690577216139</v>
      </c>
      <c r="C24">
        <v>11</v>
      </c>
      <c r="D24" t="s">
        <v>19</v>
      </c>
      <c r="E24">
        <v>2</v>
      </c>
      <c r="F24" t="s">
        <v>74</v>
      </c>
      <c r="G24" t="s">
        <v>90</v>
      </c>
    </row>
    <row r="25" spans="1:7">
      <c r="A25">
        <v>779.8</v>
      </c>
      <c r="B25">
        <v>500.01869965032301</v>
      </c>
      <c r="C25">
        <v>12</v>
      </c>
      <c r="D25" t="s">
        <v>19</v>
      </c>
      <c r="E25">
        <v>2</v>
      </c>
      <c r="F25" t="s">
        <v>74</v>
      </c>
      <c r="G25" t="s">
        <v>90</v>
      </c>
    </row>
    <row r="26" spans="1:7">
      <c r="A26">
        <v>1585</v>
      </c>
      <c r="B26">
        <v>173.9482681718907</v>
      </c>
      <c r="C26">
        <v>1</v>
      </c>
      <c r="D26" t="s">
        <v>18</v>
      </c>
      <c r="E26">
        <v>2</v>
      </c>
      <c r="F26" t="s">
        <v>74</v>
      </c>
      <c r="G26" t="s">
        <v>90</v>
      </c>
    </row>
    <row r="27" spans="1:7">
      <c r="A27">
        <v>3146.75</v>
      </c>
      <c r="B27">
        <v>839.26014044117062</v>
      </c>
      <c r="C27">
        <v>2</v>
      </c>
      <c r="D27" t="s">
        <v>18</v>
      </c>
      <c r="E27">
        <v>2</v>
      </c>
      <c r="F27" t="s">
        <v>74</v>
      </c>
      <c r="G27" t="s">
        <v>90</v>
      </c>
    </row>
    <row r="28" spans="1:7">
      <c r="A28">
        <v>1081</v>
      </c>
      <c r="B28">
        <v>136.50274722510167</v>
      </c>
      <c r="C28">
        <v>3</v>
      </c>
      <c r="D28" t="s">
        <v>18</v>
      </c>
      <c r="E28">
        <v>2</v>
      </c>
      <c r="F28" t="s">
        <v>74</v>
      </c>
      <c r="G28" t="s">
        <v>90</v>
      </c>
    </row>
    <row r="29" spans="1:7">
      <c r="A29">
        <v>1791</v>
      </c>
      <c r="B29">
        <v>445.16513789828599</v>
      </c>
      <c r="C29">
        <v>4</v>
      </c>
      <c r="D29" t="s">
        <v>18</v>
      </c>
      <c r="E29">
        <v>2</v>
      </c>
      <c r="F29" t="s">
        <v>74</v>
      </c>
      <c r="G29" t="s">
        <v>90</v>
      </c>
    </row>
    <row r="30" spans="1:7">
      <c r="A30">
        <v>2222.6666666666665</v>
      </c>
      <c r="B30">
        <v>797.50882962719163</v>
      </c>
      <c r="C30">
        <v>5</v>
      </c>
      <c r="D30" t="s">
        <v>18</v>
      </c>
      <c r="E30">
        <v>2</v>
      </c>
      <c r="F30" t="s">
        <v>74</v>
      </c>
      <c r="G30" t="s">
        <v>90</v>
      </c>
    </row>
    <row r="31" spans="1:7">
      <c r="A31">
        <v>2286</v>
      </c>
      <c r="B31">
        <v>660.25638959422417</v>
      </c>
      <c r="C31">
        <v>6</v>
      </c>
      <c r="D31" t="s">
        <v>18</v>
      </c>
      <c r="E31">
        <v>2</v>
      </c>
      <c r="F31" t="s">
        <v>74</v>
      </c>
      <c r="G31" t="s">
        <v>90</v>
      </c>
    </row>
    <row r="32" spans="1:7">
      <c r="A32">
        <v>3230.8</v>
      </c>
      <c r="B32">
        <v>675.22048250923137</v>
      </c>
      <c r="C32">
        <v>7</v>
      </c>
      <c r="D32" t="s">
        <v>18</v>
      </c>
      <c r="E32">
        <v>2</v>
      </c>
      <c r="F32" t="s">
        <v>74</v>
      </c>
      <c r="G32" t="s">
        <v>90</v>
      </c>
    </row>
    <row r="33" spans="1:7">
      <c r="A33">
        <v>6541.6</v>
      </c>
      <c r="B33">
        <v>1623.414703641678</v>
      </c>
      <c r="C33">
        <v>8</v>
      </c>
      <c r="D33" t="s">
        <v>18</v>
      </c>
      <c r="E33">
        <v>2</v>
      </c>
      <c r="F33" t="s">
        <v>74</v>
      </c>
      <c r="G33" t="s">
        <v>90</v>
      </c>
    </row>
    <row r="34" spans="1:7">
      <c r="A34">
        <v>5373.25</v>
      </c>
      <c r="B34">
        <v>1338.4830655135936</v>
      </c>
      <c r="C34">
        <v>9</v>
      </c>
      <c r="D34" t="s">
        <v>18</v>
      </c>
      <c r="E34">
        <v>2</v>
      </c>
      <c r="F34" t="s">
        <v>74</v>
      </c>
      <c r="G34" t="s">
        <v>90</v>
      </c>
    </row>
    <row r="35" spans="1:7">
      <c r="A35">
        <v>7764.666666666667</v>
      </c>
      <c r="B35">
        <v>1691.2008554081708</v>
      </c>
      <c r="C35">
        <v>10</v>
      </c>
      <c r="D35" t="s">
        <v>18</v>
      </c>
      <c r="E35">
        <v>2</v>
      </c>
      <c r="F35" t="s">
        <v>74</v>
      </c>
      <c r="G35" t="s">
        <v>90</v>
      </c>
    </row>
    <row r="36" spans="1:7">
      <c r="A36">
        <v>4310.666666666667</v>
      </c>
      <c r="B36">
        <v>775.49038248925569</v>
      </c>
      <c r="C36">
        <v>11</v>
      </c>
      <c r="D36" t="s">
        <v>18</v>
      </c>
      <c r="E36">
        <v>2</v>
      </c>
      <c r="F36" t="s">
        <v>74</v>
      </c>
      <c r="G36" t="s">
        <v>90</v>
      </c>
    </row>
    <row r="37" spans="1:7">
      <c r="A37">
        <v>6990.5</v>
      </c>
      <c r="B37">
        <v>2320.0173490730626</v>
      </c>
      <c r="C37">
        <v>12</v>
      </c>
      <c r="D37" t="s">
        <v>18</v>
      </c>
      <c r="E37">
        <v>2</v>
      </c>
      <c r="F37" t="s">
        <v>74</v>
      </c>
      <c r="G37" t="s">
        <v>90</v>
      </c>
    </row>
    <row r="38" spans="1:7">
      <c r="A38">
        <v>2064</v>
      </c>
      <c r="B38">
        <v>180.13328398716322</v>
      </c>
      <c r="C38">
        <v>1</v>
      </c>
      <c r="D38" t="s">
        <v>60</v>
      </c>
      <c r="E38">
        <v>2</v>
      </c>
      <c r="F38" t="s">
        <v>74</v>
      </c>
      <c r="G38" t="s">
        <v>90</v>
      </c>
    </row>
    <row r="39" spans="1:7">
      <c r="A39">
        <v>3481</v>
      </c>
      <c r="B39">
        <v>951.57763740012297</v>
      </c>
      <c r="C39">
        <v>2</v>
      </c>
      <c r="D39" t="s">
        <v>60</v>
      </c>
      <c r="E39">
        <v>2</v>
      </c>
      <c r="F39" t="s">
        <v>74</v>
      </c>
      <c r="G39" t="s">
        <v>90</v>
      </c>
    </row>
    <row r="40" spans="1:7">
      <c r="A40">
        <v>1276.6666666666667</v>
      </c>
      <c r="B40">
        <v>127.62967262095964</v>
      </c>
      <c r="C40">
        <v>3</v>
      </c>
      <c r="D40" t="s">
        <v>60</v>
      </c>
      <c r="E40">
        <v>2</v>
      </c>
      <c r="F40" t="s">
        <v>74</v>
      </c>
      <c r="G40" t="s">
        <v>90</v>
      </c>
    </row>
    <row r="41" spans="1:7">
      <c r="A41">
        <v>1232</v>
      </c>
      <c r="B41">
        <v>504.31405559102421</v>
      </c>
      <c r="C41">
        <v>4</v>
      </c>
      <c r="D41" t="s">
        <v>60</v>
      </c>
      <c r="E41">
        <v>2</v>
      </c>
      <c r="F41" t="s">
        <v>74</v>
      </c>
      <c r="G41" t="s">
        <v>90</v>
      </c>
    </row>
    <row r="42" spans="1:7">
      <c r="A42">
        <v>2194.6666666666665</v>
      </c>
      <c r="B42">
        <v>101.10555540292202</v>
      </c>
      <c r="C42">
        <v>5</v>
      </c>
      <c r="D42" t="s">
        <v>60</v>
      </c>
      <c r="E42">
        <v>2</v>
      </c>
      <c r="F42" t="s">
        <v>74</v>
      </c>
      <c r="G42" t="s">
        <v>90</v>
      </c>
    </row>
    <row r="43" spans="1:7">
      <c r="A43">
        <v>2780</v>
      </c>
      <c r="B43">
        <v>897.4970752041479</v>
      </c>
      <c r="C43">
        <v>6</v>
      </c>
      <c r="D43" t="s">
        <v>60</v>
      </c>
      <c r="E43">
        <v>2</v>
      </c>
      <c r="F43" t="s">
        <v>74</v>
      </c>
      <c r="G43" t="s">
        <v>90</v>
      </c>
    </row>
    <row r="44" spans="1:7">
      <c r="A44">
        <v>4374</v>
      </c>
      <c r="B44">
        <v>956.92841947556349</v>
      </c>
      <c r="C44">
        <v>7</v>
      </c>
      <c r="D44" t="s">
        <v>60</v>
      </c>
      <c r="E44">
        <v>2</v>
      </c>
      <c r="F44" t="s">
        <v>74</v>
      </c>
      <c r="G44" t="s">
        <v>90</v>
      </c>
    </row>
    <row r="45" spans="1:7">
      <c r="A45">
        <v>4628</v>
      </c>
      <c r="B45">
        <v>734.47259989736858</v>
      </c>
      <c r="C45">
        <v>8</v>
      </c>
      <c r="D45" t="s">
        <v>60</v>
      </c>
      <c r="E45">
        <v>2</v>
      </c>
      <c r="F45" t="s">
        <v>74</v>
      </c>
      <c r="G45" t="s">
        <v>90</v>
      </c>
    </row>
    <row r="46" spans="1:7">
      <c r="A46">
        <v>3140.7142857142858</v>
      </c>
      <c r="B46">
        <v>952.58153006898692</v>
      </c>
      <c r="C46">
        <v>9</v>
      </c>
      <c r="D46" t="s">
        <v>60</v>
      </c>
      <c r="E46">
        <v>2</v>
      </c>
      <c r="F46" t="s">
        <v>74</v>
      </c>
      <c r="G46" t="s">
        <v>90</v>
      </c>
    </row>
    <row r="47" spans="1:7">
      <c r="A47">
        <v>3133.5</v>
      </c>
      <c r="B47">
        <v>619.97715011657215</v>
      </c>
      <c r="C47">
        <v>10</v>
      </c>
      <c r="D47" t="s">
        <v>60</v>
      </c>
      <c r="E47">
        <v>2</v>
      </c>
      <c r="F47" t="s">
        <v>74</v>
      </c>
      <c r="G47" t="s">
        <v>90</v>
      </c>
    </row>
    <row r="48" spans="1:7">
      <c r="A48">
        <v>2309.25</v>
      </c>
      <c r="B48">
        <v>941.51628592747488</v>
      </c>
      <c r="C48">
        <v>11</v>
      </c>
      <c r="D48" t="s">
        <v>60</v>
      </c>
      <c r="E48">
        <v>2</v>
      </c>
      <c r="F48" t="s">
        <v>74</v>
      </c>
      <c r="G48" t="s">
        <v>90</v>
      </c>
    </row>
    <row r="49" spans="1:7">
      <c r="A49">
        <v>1567.6666666666667</v>
      </c>
      <c r="B49">
        <v>117.27886993543778</v>
      </c>
      <c r="C49">
        <v>12</v>
      </c>
      <c r="D49" t="s">
        <v>60</v>
      </c>
      <c r="E49">
        <v>2</v>
      </c>
      <c r="F49" t="s">
        <v>74</v>
      </c>
      <c r="G49" t="s">
        <v>90</v>
      </c>
    </row>
    <row r="50" spans="1:7">
      <c r="A50">
        <v>3047.6666666666665</v>
      </c>
      <c r="B50">
        <v>745.53891022981975</v>
      </c>
      <c r="C50">
        <v>1</v>
      </c>
      <c r="D50" t="s">
        <v>19</v>
      </c>
      <c r="E50">
        <v>1</v>
      </c>
      <c r="F50" t="s">
        <v>75</v>
      </c>
      <c r="G50" t="s">
        <v>91</v>
      </c>
    </row>
    <row r="51" spans="1:7">
      <c r="A51">
        <v>5183.833333333333</v>
      </c>
      <c r="B51">
        <v>922.13218502916857</v>
      </c>
      <c r="C51">
        <v>2</v>
      </c>
      <c r="D51" t="s">
        <v>19</v>
      </c>
      <c r="E51">
        <v>1</v>
      </c>
      <c r="F51" t="s">
        <v>75</v>
      </c>
      <c r="G51" t="s">
        <v>91</v>
      </c>
    </row>
    <row r="52" spans="1:7">
      <c r="A52">
        <v>1980.5</v>
      </c>
      <c r="B52">
        <v>423.38123088614435</v>
      </c>
      <c r="C52">
        <v>3</v>
      </c>
      <c r="D52" t="s">
        <v>19</v>
      </c>
      <c r="E52">
        <v>1</v>
      </c>
      <c r="F52" t="s">
        <v>75</v>
      </c>
      <c r="G52" t="s">
        <v>91</v>
      </c>
    </row>
    <row r="53" spans="1:7">
      <c r="A53">
        <v>2332</v>
      </c>
      <c r="B53">
        <v>176.22523466669958</v>
      </c>
      <c r="C53">
        <v>4</v>
      </c>
      <c r="D53" t="s">
        <v>19</v>
      </c>
      <c r="E53">
        <v>1</v>
      </c>
      <c r="F53" t="s">
        <v>75</v>
      </c>
      <c r="G53" t="s">
        <v>91</v>
      </c>
    </row>
    <row r="54" spans="1:7">
      <c r="A54">
        <v>3024.6</v>
      </c>
      <c r="B54">
        <v>712.27719323308452</v>
      </c>
      <c r="C54">
        <v>5</v>
      </c>
      <c r="D54" t="s">
        <v>19</v>
      </c>
      <c r="E54">
        <v>1</v>
      </c>
      <c r="F54" t="s">
        <v>75</v>
      </c>
      <c r="G54" t="s">
        <v>91</v>
      </c>
    </row>
    <row r="55" spans="1:7">
      <c r="A55">
        <v>4349.8571428571431</v>
      </c>
      <c r="B55">
        <v>761.37538454462469</v>
      </c>
      <c r="C55">
        <v>6</v>
      </c>
      <c r="D55" t="s">
        <v>19</v>
      </c>
      <c r="E55">
        <v>1</v>
      </c>
      <c r="F55" t="s">
        <v>75</v>
      </c>
      <c r="G55" t="s">
        <v>91</v>
      </c>
    </row>
    <row r="56" spans="1:7">
      <c r="A56">
        <v>5950.1428571428569</v>
      </c>
      <c r="B56">
        <v>1200.2290654386816</v>
      </c>
      <c r="C56">
        <v>7</v>
      </c>
      <c r="D56" t="s">
        <v>19</v>
      </c>
      <c r="E56">
        <v>1</v>
      </c>
      <c r="F56" t="s">
        <v>75</v>
      </c>
      <c r="G56" t="s">
        <v>91</v>
      </c>
    </row>
    <row r="57" spans="1:7">
      <c r="A57">
        <v>6940.7</v>
      </c>
      <c r="B57">
        <v>898.54104586886501</v>
      </c>
      <c r="C57">
        <v>8</v>
      </c>
      <c r="D57" t="s">
        <v>19</v>
      </c>
      <c r="E57">
        <v>1</v>
      </c>
      <c r="F57" t="s">
        <v>75</v>
      </c>
      <c r="G57" t="s">
        <v>91</v>
      </c>
    </row>
    <row r="58" spans="1:7">
      <c r="A58">
        <v>7242.9400000000005</v>
      </c>
      <c r="B58">
        <v>512.19661446232408</v>
      </c>
      <c r="C58">
        <v>9</v>
      </c>
      <c r="D58" t="s">
        <v>19</v>
      </c>
      <c r="E58">
        <v>1</v>
      </c>
      <c r="F58" t="s">
        <v>75</v>
      </c>
      <c r="G58" t="s">
        <v>91</v>
      </c>
    </row>
    <row r="59" spans="1:7">
      <c r="A59">
        <v>8142.4557142857147</v>
      </c>
      <c r="B59">
        <v>883.42065783157454</v>
      </c>
      <c r="C59">
        <v>10</v>
      </c>
      <c r="D59" t="s">
        <v>19</v>
      </c>
      <c r="E59">
        <v>1</v>
      </c>
      <c r="F59" t="s">
        <v>75</v>
      </c>
      <c r="G59" t="s">
        <v>91</v>
      </c>
    </row>
    <row r="60" spans="1:7">
      <c r="A60">
        <v>7907.211666666667</v>
      </c>
      <c r="B60">
        <v>1987.9035993358229</v>
      </c>
      <c r="C60">
        <v>11</v>
      </c>
      <c r="D60" t="s">
        <v>19</v>
      </c>
      <c r="E60">
        <v>1</v>
      </c>
      <c r="F60" t="s">
        <v>75</v>
      </c>
      <c r="G60" t="s">
        <v>91</v>
      </c>
    </row>
    <row r="61" spans="1:7">
      <c r="A61">
        <v>7772.8964999999998</v>
      </c>
      <c r="B61">
        <v>1972.4101780771423</v>
      </c>
      <c r="C61">
        <v>12</v>
      </c>
      <c r="D61" t="s">
        <v>19</v>
      </c>
      <c r="E61">
        <v>1</v>
      </c>
      <c r="F61" t="s">
        <v>75</v>
      </c>
      <c r="G61" t="s">
        <v>91</v>
      </c>
    </row>
    <row r="62" spans="1:7">
      <c r="A62">
        <v>3047.25</v>
      </c>
      <c r="B62">
        <v>391.44465338878581</v>
      </c>
      <c r="C62">
        <v>1</v>
      </c>
      <c r="D62" t="s">
        <v>19</v>
      </c>
      <c r="E62">
        <v>2</v>
      </c>
      <c r="F62" t="s">
        <v>75</v>
      </c>
      <c r="G62" t="s">
        <v>91</v>
      </c>
    </row>
    <row r="63" spans="1:7">
      <c r="A63">
        <v>5826.2222222222226</v>
      </c>
      <c r="B63">
        <v>949.4396739363948</v>
      </c>
      <c r="C63">
        <v>2</v>
      </c>
      <c r="D63" t="s">
        <v>19</v>
      </c>
      <c r="E63">
        <v>2</v>
      </c>
      <c r="F63" t="s">
        <v>75</v>
      </c>
      <c r="G63" t="s">
        <v>91</v>
      </c>
    </row>
    <row r="64" spans="1:7">
      <c r="A64">
        <v>1964.5</v>
      </c>
      <c r="B64">
        <v>260.45556242860317</v>
      </c>
      <c r="C64">
        <v>3</v>
      </c>
      <c r="D64" t="s">
        <v>19</v>
      </c>
      <c r="E64">
        <v>2</v>
      </c>
      <c r="F64" t="s">
        <v>75</v>
      </c>
      <c r="G64" t="s">
        <v>91</v>
      </c>
    </row>
    <row r="65" spans="1:7">
      <c r="A65">
        <v>2429.5714285714284</v>
      </c>
      <c r="B65">
        <v>426.20060110346247</v>
      </c>
      <c r="C65">
        <v>4</v>
      </c>
      <c r="D65" t="s">
        <v>19</v>
      </c>
      <c r="E65">
        <v>2</v>
      </c>
      <c r="F65" t="s">
        <v>75</v>
      </c>
      <c r="G65" t="s">
        <v>91</v>
      </c>
    </row>
    <row r="66" spans="1:7">
      <c r="A66">
        <v>2946.7142857142858</v>
      </c>
      <c r="B66">
        <v>949.62882473201296</v>
      </c>
      <c r="C66">
        <v>5</v>
      </c>
      <c r="D66" t="s">
        <v>19</v>
      </c>
      <c r="E66">
        <v>2</v>
      </c>
      <c r="F66" t="s">
        <v>75</v>
      </c>
      <c r="G66" t="s">
        <v>91</v>
      </c>
    </row>
    <row r="67" spans="1:7">
      <c r="A67">
        <v>4019.625</v>
      </c>
      <c r="B67">
        <v>548.28875017770383</v>
      </c>
      <c r="C67">
        <v>6</v>
      </c>
      <c r="D67" t="s">
        <v>19</v>
      </c>
      <c r="E67">
        <v>2</v>
      </c>
      <c r="F67" t="s">
        <v>75</v>
      </c>
      <c r="G67" t="s">
        <v>91</v>
      </c>
    </row>
    <row r="68" spans="1:7">
      <c r="A68">
        <v>5642.2857142857147</v>
      </c>
      <c r="B68">
        <v>595.02596982140608</v>
      </c>
      <c r="C68">
        <v>7</v>
      </c>
      <c r="D68" t="s">
        <v>19</v>
      </c>
      <c r="E68">
        <v>2</v>
      </c>
      <c r="F68" t="s">
        <v>75</v>
      </c>
      <c r="G68" t="s">
        <v>91</v>
      </c>
    </row>
    <row r="69" spans="1:7">
      <c r="A69">
        <v>6893.75</v>
      </c>
      <c r="B69">
        <v>487.25583629136759</v>
      </c>
      <c r="C69">
        <v>8</v>
      </c>
      <c r="D69" t="s">
        <v>19</v>
      </c>
      <c r="E69">
        <v>2</v>
      </c>
      <c r="F69" t="s">
        <v>75</v>
      </c>
      <c r="G69" t="s">
        <v>91</v>
      </c>
    </row>
    <row r="70" spans="1:7">
      <c r="A70">
        <v>6287.4</v>
      </c>
      <c r="B70">
        <v>1000.2596551784817</v>
      </c>
      <c r="C70">
        <v>9</v>
      </c>
      <c r="D70" t="s">
        <v>19</v>
      </c>
      <c r="E70">
        <v>2</v>
      </c>
      <c r="F70" t="s">
        <v>75</v>
      </c>
      <c r="G70" t="s">
        <v>91</v>
      </c>
    </row>
    <row r="71" spans="1:7">
      <c r="A71">
        <v>5418.2857142857147</v>
      </c>
      <c r="B71">
        <v>962.80176469262813</v>
      </c>
      <c r="C71">
        <v>10</v>
      </c>
      <c r="D71" t="s">
        <v>19</v>
      </c>
      <c r="E71">
        <v>2</v>
      </c>
      <c r="F71" t="s">
        <v>75</v>
      </c>
      <c r="G71" t="s">
        <v>91</v>
      </c>
    </row>
    <row r="72" spans="1:7">
      <c r="A72">
        <v>5029.166666666667</v>
      </c>
      <c r="B72">
        <v>516.39845726596297</v>
      </c>
      <c r="C72">
        <v>11</v>
      </c>
      <c r="D72" t="s">
        <v>19</v>
      </c>
      <c r="E72">
        <v>2</v>
      </c>
      <c r="F72" t="s">
        <v>75</v>
      </c>
      <c r="G72" t="s">
        <v>91</v>
      </c>
    </row>
    <row r="73" spans="1:7">
      <c r="A73">
        <v>6966.75</v>
      </c>
      <c r="B73">
        <v>1027.5950483207544</v>
      </c>
      <c r="C73">
        <v>12</v>
      </c>
      <c r="D73" t="s">
        <v>19</v>
      </c>
      <c r="E73">
        <v>2</v>
      </c>
      <c r="F73" t="s">
        <v>75</v>
      </c>
      <c r="G73" t="s">
        <v>91</v>
      </c>
    </row>
    <row r="74" spans="1:7">
      <c r="A74">
        <v>3065.1</v>
      </c>
      <c r="B74">
        <v>602.17318476036871</v>
      </c>
      <c r="C74">
        <v>1</v>
      </c>
      <c r="D74" t="s">
        <v>19</v>
      </c>
      <c r="E74" t="s">
        <v>162</v>
      </c>
      <c r="F74" t="s">
        <v>75</v>
      </c>
      <c r="G74" t="s">
        <v>91</v>
      </c>
    </row>
    <row r="75" spans="1:7">
      <c r="A75">
        <v>5567.0666666666666</v>
      </c>
      <c r="B75">
        <v>947.68774744990083</v>
      </c>
      <c r="C75">
        <v>2</v>
      </c>
      <c r="D75" t="s">
        <v>19</v>
      </c>
      <c r="E75" t="s">
        <v>162</v>
      </c>
      <c r="F75" t="s">
        <v>75</v>
      </c>
      <c r="G75" t="s">
        <v>91</v>
      </c>
    </row>
    <row r="76" spans="1:7">
      <c r="A76">
        <v>1968.1</v>
      </c>
      <c r="B76">
        <v>318.14163512498618</v>
      </c>
      <c r="C76">
        <v>3</v>
      </c>
      <c r="D76" t="s">
        <v>19</v>
      </c>
      <c r="E76" t="s">
        <v>162</v>
      </c>
      <c r="F76" t="s">
        <v>75</v>
      </c>
      <c r="G76" t="s">
        <v>91</v>
      </c>
    </row>
    <row r="77" spans="1:7">
      <c r="A77">
        <v>2394.4545454545455</v>
      </c>
      <c r="B77">
        <v>348.21009854292373</v>
      </c>
      <c r="C77">
        <v>4</v>
      </c>
      <c r="D77" t="s">
        <v>19</v>
      </c>
      <c r="E77" t="s">
        <v>162</v>
      </c>
      <c r="F77" t="s">
        <v>75</v>
      </c>
      <c r="G77" t="s">
        <v>91</v>
      </c>
    </row>
    <row r="78" spans="1:7">
      <c r="A78">
        <v>2984.4166666666665</v>
      </c>
      <c r="B78">
        <v>829.69375054713419</v>
      </c>
      <c r="C78">
        <v>5</v>
      </c>
      <c r="D78" t="s">
        <v>19</v>
      </c>
      <c r="E78" t="s">
        <v>162</v>
      </c>
      <c r="F78" t="s">
        <v>75</v>
      </c>
      <c r="G78" t="s">
        <v>91</v>
      </c>
    </row>
    <row r="79" spans="1:7">
      <c r="A79">
        <v>4146</v>
      </c>
      <c r="B79">
        <v>679.74648635670474</v>
      </c>
      <c r="C79">
        <v>6</v>
      </c>
      <c r="D79" t="s">
        <v>19</v>
      </c>
      <c r="E79" t="s">
        <v>162</v>
      </c>
      <c r="F79" t="s">
        <v>75</v>
      </c>
      <c r="G79" t="s">
        <v>91</v>
      </c>
    </row>
    <row r="80" spans="1:7">
      <c r="A80">
        <v>5795.7142857142853</v>
      </c>
      <c r="B80">
        <v>945.06519340213799</v>
      </c>
      <c r="C80">
        <v>7</v>
      </c>
      <c r="D80" t="s">
        <v>19</v>
      </c>
      <c r="E80" t="s">
        <v>162</v>
      </c>
      <c r="F80" t="s">
        <v>75</v>
      </c>
      <c r="G80" t="s">
        <v>91</v>
      </c>
    </row>
    <row r="81" spans="1:7">
      <c r="A81">
        <v>6892.5714285714284</v>
      </c>
      <c r="B81">
        <v>787.50987434939816</v>
      </c>
      <c r="C81">
        <v>8</v>
      </c>
      <c r="D81" t="s">
        <v>19</v>
      </c>
      <c r="E81" t="s">
        <v>162</v>
      </c>
      <c r="F81" t="s">
        <v>75</v>
      </c>
      <c r="G81" t="s">
        <v>91</v>
      </c>
    </row>
    <row r="82" spans="1:7">
      <c r="A82">
        <v>6764.6811764705881</v>
      </c>
      <c r="B82">
        <v>826.73938639907885</v>
      </c>
      <c r="C82">
        <v>9</v>
      </c>
      <c r="D82" t="s">
        <v>19</v>
      </c>
      <c r="E82" t="s">
        <v>162</v>
      </c>
      <c r="F82" t="s">
        <v>75</v>
      </c>
      <c r="G82" t="s">
        <v>91</v>
      </c>
    </row>
    <row r="83" spans="1:7">
      <c r="A83">
        <v>6779.8707142857147</v>
      </c>
      <c r="B83">
        <v>1078.7309057699667</v>
      </c>
      <c r="C83">
        <v>10</v>
      </c>
      <c r="D83" t="s">
        <v>19</v>
      </c>
      <c r="E83" t="s">
        <v>162</v>
      </c>
      <c r="F83" t="s">
        <v>75</v>
      </c>
      <c r="G83" t="s">
        <v>91</v>
      </c>
    </row>
    <row r="84" spans="1:7">
      <c r="A84">
        <v>6062.5150000000003</v>
      </c>
      <c r="B84">
        <v>1206.8894987678032</v>
      </c>
      <c r="C84">
        <v>11</v>
      </c>
      <c r="D84" t="s">
        <v>19</v>
      </c>
      <c r="E84" t="s">
        <v>162</v>
      </c>
      <c r="F84" t="s">
        <v>75</v>
      </c>
      <c r="G84" t="s">
        <v>91</v>
      </c>
    </row>
    <row r="85" spans="1:7">
      <c r="A85">
        <v>7246.0379000000003</v>
      </c>
      <c r="B85">
        <v>1606.8900511658094</v>
      </c>
      <c r="C85">
        <v>12</v>
      </c>
      <c r="D85" t="s">
        <v>19</v>
      </c>
      <c r="E85" t="s">
        <v>162</v>
      </c>
      <c r="F85" t="s">
        <v>75</v>
      </c>
      <c r="G85" t="s">
        <v>91</v>
      </c>
    </row>
    <row r="86" spans="1:7">
      <c r="A86">
        <v>2843.79</v>
      </c>
      <c r="B86">
        <v>136.17886656159263</v>
      </c>
      <c r="C86">
        <v>1</v>
      </c>
      <c r="D86" t="s">
        <v>18</v>
      </c>
      <c r="E86">
        <v>1</v>
      </c>
      <c r="F86" t="s">
        <v>75</v>
      </c>
      <c r="G86" t="s">
        <v>91</v>
      </c>
    </row>
    <row r="87" spans="1:7">
      <c r="A87">
        <v>5014.1229999999996</v>
      </c>
      <c r="B87">
        <v>1649.2063589648228</v>
      </c>
      <c r="C87">
        <v>2</v>
      </c>
      <c r="D87" t="s">
        <v>18</v>
      </c>
      <c r="E87">
        <v>1</v>
      </c>
      <c r="F87" t="s">
        <v>75</v>
      </c>
      <c r="G87" t="s">
        <v>91</v>
      </c>
    </row>
    <row r="88" spans="1:7">
      <c r="A88">
        <v>2361.6154999999999</v>
      </c>
      <c r="B88">
        <v>489.09515394501835</v>
      </c>
      <c r="C88">
        <v>3</v>
      </c>
      <c r="D88" t="s">
        <v>18</v>
      </c>
      <c r="E88">
        <v>1</v>
      </c>
      <c r="F88" t="s">
        <v>75</v>
      </c>
      <c r="G88" t="s">
        <v>91</v>
      </c>
    </row>
    <row r="89" spans="1:7">
      <c r="A89">
        <v>2506.2769999999996</v>
      </c>
      <c r="B89">
        <v>155.6008096861967</v>
      </c>
      <c r="C89">
        <v>4</v>
      </c>
      <c r="D89" t="s">
        <v>18</v>
      </c>
      <c r="E89">
        <v>1</v>
      </c>
      <c r="F89" t="s">
        <v>75</v>
      </c>
      <c r="G89" t="s">
        <v>91</v>
      </c>
    </row>
    <row r="90" spans="1:7">
      <c r="A90">
        <v>2753.759</v>
      </c>
      <c r="B90">
        <v>2076.4148203136101</v>
      </c>
      <c r="C90">
        <v>5</v>
      </c>
      <c r="D90" t="s">
        <v>18</v>
      </c>
      <c r="E90">
        <v>1</v>
      </c>
      <c r="F90" t="s">
        <v>75</v>
      </c>
      <c r="G90" t="s">
        <v>91</v>
      </c>
    </row>
    <row r="91" spans="1:7">
      <c r="A91">
        <v>4091.3976666666663</v>
      </c>
      <c r="B91">
        <v>100.23275082194107</v>
      </c>
      <c r="C91">
        <v>6</v>
      </c>
      <c r="D91" t="s">
        <v>18</v>
      </c>
      <c r="E91">
        <v>1</v>
      </c>
      <c r="F91" t="s">
        <v>75</v>
      </c>
      <c r="G91" t="s">
        <v>91</v>
      </c>
    </row>
    <row r="92" spans="1:7">
      <c r="A92">
        <v>5422.6083333333327</v>
      </c>
      <c r="B92">
        <v>1337.7801952661459</v>
      </c>
      <c r="C92">
        <v>7</v>
      </c>
      <c r="D92" t="s">
        <v>18</v>
      </c>
      <c r="E92">
        <v>1</v>
      </c>
      <c r="F92" t="s">
        <v>75</v>
      </c>
      <c r="G92" t="s">
        <v>91</v>
      </c>
    </row>
    <row r="93" spans="1:7">
      <c r="A93">
        <v>6687.5077499999989</v>
      </c>
      <c r="B93">
        <v>270.27568980872712</v>
      </c>
      <c r="C93">
        <v>8</v>
      </c>
      <c r="D93" t="s">
        <v>18</v>
      </c>
      <c r="E93">
        <v>1</v>
      </c>
      <c r="F93" t="s">
        <v>75</v>
      </c>
      <c r="G93" t="s">
        <v>91</v>
      </c>
    </row>
    <row r="94" spans="1:7">
      <c r="A94">
        <v>7853.0760000000009</v>
      </c>
      <c r="B94">
        <v>1095.7152282685013</v>
      </c>
      <c r="C94">
        <v>9</v>
      </c>
      <c r="D94" t="s">
        <v>18</v>
      </c>
      <c r="E94">
        <v>1</v>
      </c>
      <c r="F94" t="s">
        <v>75</v>
      </c>
      <c r="G94" t="s">
        <v>91</v>
      </c>
    </row>
    <row r="95" spans="1:7">
      <c r="A95">
        <v>9008.3750000000018</v>
      </c>
      <c r="B95">
        <v>741.23377145702193</v>
      </c>
      <c r="C95">
        <v>10</v>
      </c>
      <c r="D95" t="s">
        <v>18</v>
      </c>
      <c r="E95">
        <v>1</v>
      </c>
      <c r="F95" t="s">
        <v>75</v>
      </c>
      <c r="G95" t="s">
        <v>91</v>
      </c>
    </row>
    <row r="96" spans="1:7">
      <c r="A96">
        <v>7958.7296666666662</v>
      </c>
      <c r="B96">
        <v>1317.0176585970109</v>
      </c>
      <c r="C96">
        <v>11</v>
      </c>
      <c r="D96" t="s">
        <v>18</v>
      </c>
      <c r="E96">
        <v>1</v>
      </c>
      <c r="F96" t="s">
        <v>75</v>
      </c>
      <c r="G96" t="s">
        <v>91</v>
      </c>
    </row>
    <row r="97" spans="1:7">
      <c r="A97">
        <v>6991.7779999999993</v>
      </c>
      <c r="B97">
        <v>742.36392075113713</v>
      </c>
      <c r="C97">
        <v>12</v>
      </c>
      <c r="D97" t="s">
        <v>18</v>
      </c>
      <c r="E97">
        <v>1</v>
      </c>
      <c r="F97" t="s">
        <v>75</v>
      </c>
      <c r="G97" t="s">
        <v>91</v>
      </c>
    </row>
    <row r="98" spans="1:7">
      <c r="A98">
        <v>2580.75</v>
      </c>
      <c r="B98">
        <v>527.46018807109988</v>
      </c>
      <c r="C98">
        <v>1</v>
      </c>
      <c r="D98" t="s">
        <v>60</v>
      </c>
      <c r="E98">
        <v>2</v>
      </c>
      <c r="F98" t="s">
        <v>75</v>
      </c>
      <c r="G98" t="s">
        <v>91</v>
      </c>
    </row>
    <row r="99" spans="1:7">
      <c r="A99">
        <v>5422.75</v>
      </c>
      <c r="B99">
        <v>1356.2689937226071</v>
      </c>
      <c r="C99">
        <v>2</v>
      </c>
      <c r="D99" t="s">
        <v>60</v>
      </c>
      <c r="E99">
        <v>2</v>
      </c>
      <c r="F99" t="s">
        <v>75</v>
      </c>
      <c r="G99" t="s">
        <v>91</v>
      </c>
    </row>
    <row r="100" spans="1:7">
      <c r="A100">
        <v>1890.5</v>
      </c>
      <c r="B100">
        <v>463.90911466220047</v>
      </c>
      <c r="C100">
        <v>3</v>
      </c>
      <c r="D100" t="s">
        <v>60</v>
      </c>
      <c r="E100">
        <v>2</v>
      </c>
      <c r="F100" t="s">
        <v>75</v>
      </c>
      <c r="G100" t="s">
        <v>91</v>
      </c>
    </row>
    <row r="101" spans="1:7">
      <c r="A101">
        <v>2473.75</v>
      </c>
      <c r="B101">
        <v>688.94188192231911</v>
      </c>
      <c r="C101">
        <v>4</v>
      </c>
      <c r="D101" t="s">
        <v>60</v>
      </c>
      <c r="E101">
        <v>2</v>
      </c>
      <c r="F101" t="s">
        <v>75</v>
      </c>
      <c r="G101" t="s">
        <v>91</v>
      </c>
    </row>
    <row r="102" spans="1:7">
      <c r="A102">
        <v>2341</v>
      </c>
      <c r="B102">
        <v>601.7358224337321</v>
      </c>
      <c r="C102">
        <v>5</v>
      </c>
      <c r="D102" t="s">
        <v>60</v>
      </c>
      <c r="E102">
        <v>2</v>
      </c>
      <c r="F102" t="s">
        <v>75</v>
      </c>
      <c r="G102" t="s">
        <v>91</v>
      </c>
    </row>
    <row r="103" spans="1:7">
      <c r="A103">
        <v>3322.6666666666665</v>
      </c>
      <c r="B103">
        <v>789.53800837367362</v>
      </c>
      <c r="C103">
        <v>6</v>
      </c>
      <c r="D103" t="s">
        <v>60</v>
      </c>
      <c r="E103">
        <v>2</v>
      </c>
      <c r="F103" t="s">
        <v>75</v>
      </c>
      <c r="G103" t="s">
        <v>91</v>
      </c>
    </row>
    <row r="104" spans="1:7">
      <c r="A104">
        <v>4621</v>
      </c>
      <c r="B104">
        <v>643.8490506322114</v>
      </c>
      <c r="C104">
        <v>7</v>
      </c>
      <c r="D104" t="s">
        <v>60</v>
      </c>
      <c r="E104">
        <v>2</v>
      </c>
      <c r="F104" t="s">
        <v>75</v>
      </c>
      <c r="G104" t="s">
        <v>91</v>
      </c>
    </row>
    <row r="105" spans="1:7">
      <c r="A105">
        <v>6881.5</v>
      </c>
      <c r="B105">
        <v>1721.1814048993874</v>
      </c>
      <c r="C105">
        <v>8</v>
      </c>
      <c r="D105" t="s">
        <v>60</v>
      </c>
      <c r="E105">
        <v>2</v>
      </c>
      <c r="F105" t="s">
        <v>75</v>
      </c>
      <c r="G105" t="s">
        <v>91</v>
      </c>
    </row>
    <row r="106" spans="1:7">
      <c r="A106">
        <v>6805.833333333333</v>
      </c>
      <c r="B106">
        <v>1564.0622003829203</v>
      </c>
      <c r="C106">
        <v>9</v>
      </c>
      <c r="D106" t="s">
        <v>60</v>
      </c>
      <c r="E106">
        <v>2</v>
      </c>
      <c r="F106" t="s">
        <v>75</v>
      </c>
      <c r="G106" t="s">
        <v>91</v>
      </c>
    </row>
    <row r="107" spans="1:7">
      <c r="A107">
        <v>5102</v>
      </c>
      <c r="B107">
        <v>944.29592819200491</v>
      </c>
      <c r="C107">
        <v>10</v>
      </c>
      <c r="D107" t="s">
        <v>60</v>
      </c>
      <c r="E107">
        <v>2</v>
      </c>
      <c r="F107" t="s">
        <v>75</v>
      </c>
      <c r="G107" t="s">
        <v>91</v>
      </c>
    </row>
    <row r="108" spans="1:7">
      <c r="A108">
        <v>4974</v>
      </c>
      <c r="B108">
        <v>247.33883641676655</v>
      </c>
      <c r="C108">
        <v>11</v>
      </c>
      <c r="D108" t="s">
        <v>60</v>
      </c>
      <c r="E108">
        <v>2</v>
      </c>
      <c r="F108" t="s">
        <v>75</v>
      </c>
      <c r="G108" t="s">
        <v>91</v>
      </c>
    </row>
    <row r="109" spans="1:7">
      <c r="A109">
        <v>5227.666666666667</v>
      </c>
      <c r="B109">
        <v>287.62881172325791</v>
      </c>
      <c r="C109">
        <v>12</v>
      </c>
      <c r="D109" t="s">
        <v>60</v>
      </c>
      <c r="E109">
        <v>2</v>
      </c>
      <c r="F109" t="s">
        <v>75</v>
      </c>
      <c r="G109" t="s">
        <v>91</v>
      </c>
    </row>
    <row r="110" spans="1:7">
      <c r="A110">
        <v>1863.5</v>
      </c>
      <c r="B110">
        <v>460.07794370705739</v>
      </c>
      <c r="C110">
        <v>1</v>
      </c>
      <c r="D110" t="s">
        <v>19</v>
      </c>
      <c r="E110">
        <v>1</v>
      </c>
      <c r="F110" t="s">
        <v>76</v>
      </c>
      <c r="G110" t="s">
        <v>92</v>
      </c>
    </row>
    <row r="111" spans="1:7">
      <c r="A111">
        <v>3602.6</v>
      </c>
      <c r="B111">
        <v>674.34286531407804</v>
      </c>
      <c r="C111">
        <v>2</v>
      </c>
      <c r="D111" t="s">
        <v>19</v>
      </c>
      <c r="E111">
        <v>1</v>
      </c>
      <c r="F111" t="s">
        <v>76</v>
      </c>
      <c r="G111" t="s">
        <v>92</v>
      </c>
    </row>
    <row r="112" spans="1:7">
      <c r="A112">
        <v>1160.4285714285713</v>
      </c>
      <c r="B112">
        <v>304.50826871250268</v>
      </c>
      <c r="C112">
        <v>3</v>
      </c>
      <c r="D112" t="s">
        <v>19</v>
      </c>
      <c r="E112">
        <v>1</v>
      </c>
      <c r="F112" t="s">
        <v>76</v>
      </c>
      <c r="G112" t="s">
        <v>92</v>
      </c>
    </row>
    <row r="113" spans="1:7">
      <c r="A113">
        <v>1241</v>
      </c>
      <c r="B113">
        <v>287.42581651619258</v>
      </c>
      <c r="C113">
        <v>4</v>
      </c>
      <c r="D113" t="s">
        <v>19</v>
      </c>
      <c r="E113">
        <v>1</v>
      </c>
      <c r="F113" t="s">
        <v>76</v>
      </c>
      <c r="G113" t="s">
        <v>92</v>
      </c>
    </row>
    <row r="114" spans="1:7">
      <c r="A114">
        <v>1589.3333333333333</v>
      </c>
      <c r="B114">
        <v>261.71071816033827</v>
      </c>
      <c r="C114">
        <v>5</v>
      </c>
      <c r="D114" t="s">
        <v>19</v>
      </c>
      <c r="E114">
        <v>1</v>
      </c>
      <c r="F114" t="s">
        <v>76</v>
      </c>
      <c r="G114" t="s">
        <v>92</v>
      </c>
    </row>
    <row r="115" spans="1:7">
      <c r="A115">
        <v>2044.9166666666667</v>
      </c>
      <c r="B115">
        <v>534.07021300971485</v>
      </c>
      <c r="C115">
        <v>6</v>
      </c>
      <c r="D115" t="s">
        <v>19</v>
      </c>
      <c r="E115">
        <v>1</v>
      </c>
      <c r="F115" t="s">
        <v>76</v>
      </c>
      <c r="G115" t="s">
        <v>92</v>
      </c>
    </row>
    <row r="116" spans="1:7">
      <c r="A116">
        <v>2757.6</v>
      </c>
      <c r="B116">
        <v>758.50792129460808</v>
      </c>
      <c r="C116">
        <v>7</v>
      </c>
      <c r="D116" t="s">
        <v>19</v>
      </c>
      <c r="E116">
        <v>1</v>
      </c>
      <c r="F116" t="s">
        <v>76</v>
      </c>
      <c r="G116" t="s">
        <v>92</v>
      </c>
    </row>
    <row r="117" spans="1:7">
      <c r="A117">
        <v>3156.4545454545455</v>
      </c>
      <c r="B117">
        <v>604.72793281547149</v>
      </c>
      <c r="C117">
        <v>8</v>
      </c>
      <c r="D117" t="s">
        <v>19</v>
      </c>
      <c r="E117">
        <v>1</v>
      </c>
      <c r="F117" t="s">
        <v>76</v>
      </c>
      <c r="G117" t="s">
        <v>92</v>
      </c>
    </row>
    <row r="118" spans="1:7">
      <c r="A118">
        <v>2212.4444444444443</v>
      </c>
      <c r="B118">
        <v>289.5125692915214</v>
      </c>
      <c r="C118">
        <v>9</v>
      </c>
      <c r="D118" t="s">
        <v>19</v>
      </c>
      <c r="E118">
        <v>1</v>
      </c>
      <c r="F118" t="s">
        <v>76</v>
      </c>
      <c r="G118" t="s">
        <v>92</v>
      </c>
    </row>
    <row r="119" spans="1:7">
      <c r="A119">
        <v>1592.7</v>
      </c>
      <c r="B119">
        <v>498.40034109137622</v>
      </c>
      <c r="C119">
        <v>10</v>
      </c>
      <c r="D119" t="s">
        <v>19</v>
      </c>
      <c r="E119">
        <v>1</v>
      </c>
      <c r="F119" t="s">
        <v>76</v>
      </c>
      <c r="G119" t="s">
        <v>92</v>
      </c>
    </row>
    <row r="120" spans="1:7">
      <c r="A120">
        <v>229.33333333333334</v>
      </c>
      <c r="B120">
        <v>448.74194514590823</v>
      </c>
      <c r="C120">
        <v>11</v>
      </c>
      <c r="D120" t="s">
        <v>19</v>
      </c>
      <c r="E120">
        <v>1</v>
      </c>
      <c r="F120" t="s">
        <v>76</v>
      </c>
      <c r="G120" t="s">
        <v>92</v>
      </c>
    </row>
    <row r="121" spans="1:7">
      <c r="A121">
        <v>176</v>
      </c>
      <c r="B121">
        <v>270.61781168282329</v>
      </c>
      <c r="C121">
        <v>12</v>
      </c>
      <c r="D121" t="s">
        <v>19</v>
      </c>
      <c r="E121">
        <v>1</v>
      </c>
      <c r="F121" t="s">
        <v>76</v>
      </c>
      <c r="G121" t="s">
        <v>92</v>
      </c>
    </row>
    <row r="122" spans="1:7">
      <c r="A122">
        <v>1325</v>
      </c>
      <c r="B122">
        <v>132.67705151984649</v>
      </c>
      <c r="C122">
        <v>1</v>
      </c>
      <c r="D122" t="s">
        <v>19</v>
      </c>
      <c r="E122">
        <v>2</v>
      </c>
      <c r="F122" t="s">
        <v>76</v>
      </c>
      <c r="G122" t="s">
        <v>92</v>
      </c>
    </row>
    <row r="123" spans="1:7">
      <c r="A123">
        <v>2560.3333333333335</v>
      </c>
      <c r="B123">
        <v>328.16865582603583</v>
      </c>
      <c r="C123">
        <v>2</v>
      </c>
      <c r="D123" t="s">
        <v>19</v>
      </c>
      <c r="E123">
        <v>2</v>
      </c>
      <c r="F123" t="s">
        <v>76</v>
      </c>
      <c r="G123" t="s">
        <v>92</v>
      </c>
    </row>
    <row r="124" spans="1:7">
      <c r="A124">
        <v>1007</v>
      </c>
      <c r="B124">
        <v>350.04094998537909</v>
      </c>
      <c r="C124">
        <v>3</v>
      </c>
      <c r="D124" t="s">
        <v>19</v>
      </c>
      <c r="E124">
        <v>2</v>
      </c>
      <c r="F124" t="s">
        <v>76</v>
      </c>
      <c r="G124" t="s">
        <v>92</v>
      </c>
    </row>
    <row r="125" spans="1:7">
      <c r="A125">
        <v>1075.3333333333333</v>
      </c>
      <c r="B125">
        <v>146.67333318182486</v>
      </c>
      <c r="C125">
        <v>4</v>
      </c>
      <c r="D125" t="s">
        <v>19</v>
      </c>
      <c r="E125">
        <v>2</v>
      </c>
      <c r="F125" t="s">
        <v>76</v>
      </c>
      <c r="G125" t="s">
        <v>92</v>
      </c>
    </row>
    <row r="126" spans="1:7">
      <c r="A126">
        <v>1229</v>
      </c>
      <c r="B126">
        <v>309.61467988453001</v>
      </c>
      <c r="C126">
        <v>5</v>
      </c>
      <c r="D126" t="s">
        <v>19</v>
      </c>
      <c r="E126">
        <v>2</v>
      </c>
      <c r="F126" t="s">
        <v>76</v>
      </c>
      <c r="G126" t="s">
        <v>92</v>
      </c>
    </row>
    <row r="127" spans="1:7">
      <c r="A127">
        <v>1521.4444444444443</v>
      </c>
      <c r="B127">
        <v>539.26712098715791</v>
      </c>
      <c r="C127">
        <v>6</v>
      </c>
      <c r="D127" t="s">
        <v>19</v>
      </c>
      <c r="E127">
        <v>2</v>
      </c>
      <c r="F127" t="s">
        <v>76</v>
      </c>
      <c r="G127" t="s">
        <v>92</v>
      </c>
    </row>
    <row r="128" spans="1:7">
      <c r="A128">
        <v>1937.8</v>
      </c>
      <c r="B128">
        <v>385.80785373032546</v>
      </c>
      <c r="C128">
        <v>7</v>
      </c>
      <c r="D128" t="s">
        <v>19</v>
      </c>
      <c r="E128">
        <v>2</v>
      </c>
      <c r="F128" t="s">
        <v>76</v>
      </c>
      <c r="G128" t="s">
        <v>92</v>
      </c>
    </row>
    <row r="129" spans="1:7">
      <c r="A129">
        <v>1718.3333333333333</v>
      </c>
      <c r="B129">
        <v>804.40255262316668</v>
      </c>
      <c r="C129">
        <v>8</v>
      </c>
      <c r="D129" t="s">
        <v>19</v>
      </c>
      <c r="E129">
        <v>2</v>
      </c>
      <c r="F129" t="s">
        <v>76</v>
      </c>
      <c r="G129" t="s">
        <v>92</v>
      </c>
    </row>
    <row r="130" spans="1:7">
      <c r="A130">
        <v>782.22222222222217</v>
      </c>
      <c r="B130">
        <v>513.46026569194669</v>
      </c>
      <c r="C130">
        <v>9</v>
      </c>
      <c r="D130" t="s">
        <v>19</v>
      </c>
      <c r="E130">
        <v>2</v>
      </c>
      <c r="F130" t="s">
        <v>76</v>
      </c>
      <c r="G130" t="s">
        <v>92</v>
      </c>
    </row>
    <row r="131" spans="1:7">
      <c r="A131">
        <v>629.88888888888891</v>
      </c>
      <c r="B131">
        <v>370.97723799595997</v>
      </c>
      <c r="C131">
        <v>10</v>
      </c>
      <c r="D131" t="s">
        <v>19</v>
      </c>
      <c r="E131">
        <v>2</v>
      </c>
      <c r="F131" t="s">
        <v>76</v>
      </c>
      <c r="G131" t="s">
        <v>92</v>
      </c>
    </row>
    <row r="132" spans="1:7">
      <c r="A132">
        <v>75.166666666666671</v>
      </c>
      <c r="B132">
        <v>187.60108386325138</v>
      </c>
      <c r="C132">
        <v>11</v>
      </c>
      <c r="D132" t="s">
        <v>19</v>
      </c>
      <c r="E132">
        <v>2</v>
      </c>
      <c r="F132" t="s">
        <v>76</v>
      </c>
      <c r="G132" t="s">
        <v>92</v>
      </c>
    </row>
    <row r="133" spans="1:7">
      <c r="A133">
        <v>173.5</v>
      </c>
      <c r="B133">
        <v>279.92082213845163</v>
      </c>
      <c r="C133">
        <v>12</v>
      </c>
      <c r="D133" t="s">
        <v>19</v>
      </c>
      <c r="E133">
        <v>2</v>
      </c>
      <c r="F133" t="s">
        <v>76</v>
      </c>
      <c r="G133" t="s">
        <v>92</v>
      </c>
    </row>
    <row r="134" spans="1:7">
      <c r="A134">
        <v>1635.2857142857142</v>
      </c>
      <c r="B134">
        <v>455.84400647782826</v>
      </c>
      <c r="C134">
        <v>1</v>
      </c>
      <c r="D134" t="s">
        <v>19</v>
      </c>
      <c r="E134" t="s">
        <v>162</v>
      </c>
      <c r="F134" t="s">
        <v>76</v>
      </c>
      <c r="G134" t="s">
        <v>92</v>
      </c>
    </row>
    <row r="135" spans="1:7">
      <c r="A135">
        <v>3031.2727272727275</v>
      </c>
      <c r="B135">
        <v>749.47649608364554</v>
      </c>
      <c r="C135">
        <v>2</v>
      </c>
      <c r="D135" t="s">
        <v>19</v>
      </c>
      <c r="E135" t="s">
        <v>162</v>
      </c>
      <c r="F135" t="s">
        <v>76</v>
      </c>
      <c r="G135" t="s">
        <v>92</v>
      </c>
    </row>
    <row r="136" spans="1:7">
      <c r="A136">
        <v>1116.8181818181818</v>
      </c>
      <c r="B136">
        <v>328.40761811560293</v>
      </c>
      <c r="C136">
        <v>3</v>
      </c>
      <c r="D136" t="s">
        <v>19</v>
      </c>
      <c r="E136" t="s">
        <v>162</v>
      </c>
      <c r="F136" t="s">
        <v>76</v>
      </c>
      <c r="G136" t="s">
        <v>92</v>
      </c>
    </row>
    <row r="137" spans="1:7">
      <c r="A137">
        <v>1142.6666666666667</v>
      </c>
      <c r="B137">
        <v>266.47849421442589</v>
      </c>
      <c r="C137">
        <v>4</v>
      </c>
      <c r="D137" t="s">
        <v>19</v>
      </c>
      <c r="E137" t="s">
        <v>162</v>
      </c>
      <c r="F137" t="s">
        <v>76</v>
      </c>
      <c r="G137" t="s">
        <v>92</v>
      </c>
    </row>
    <row r="138" spans="1:7">
      <c r="A138">
        <v>1405.1666666666667</v>
      </c>
      <c r="B138">
        <v>328.09095761783539</v>
      </c>
      <c r="C138">
        <v>5</v>
      </c>
      <c r="D138" t="s">
        <v>19</v>
      </c>
      <c r="E138" t="s">
        <v>162</v>
      </c>
      <c r="F138" t="s">
        <v>76</v>
      </c>
      <c r="G138" t="s">
        <v>92</v>
      </c>
    </row>
    <row r="139" spans="1:7">
      <c r="A139">
        <v>1799.5714285714287</v>
      </c>
      <c r="B139">
        <v>667.11255208012494</v>
      </c>
      <c r="C139">
        <v>6</v>
      </c>
      <c r="D139" t="s">
        <v>19</v>
      </c>
      <c r="E139" t="s">
        <v>162</v>
      </c>
      <c r="F139" t="s">
        <v>76</v>
      </c>
      <c r="G139" t="s">
        <v>92</v>
      </c>
    </row>
    <row r="140" spans="1:7">
      <c r="A140">
        <v>2541</v>
      </c>
      <c r="B140">
        <v>829.42398256690342</v>
      </c>
      <c r="C140">
        <v>7</v>
      </c>
      <c r="D140" t="s">
        <v>19</v>
      </c>
      <c r="E140" t="s">
        <v>162</v>
      </c>
      <c r="F140" t="s">
        <v>76</v>
      </c>
      <c r="G140" t="s">
        <v>92</v>
      </c>
    </row>
    <row r="141" spans="1:7">
      <c r="A141">
        <v>2642.294117647059</v>
      </c>
      <c r="B141">
        <v>898.97662404994446</v>
      </c>
      <c r="C141">
        <v>8</v>
      </c>
      <c r="D141" t="s">
        <v>19</v>
      </c>
      <c r="E141" t="s">
        <v>162</v>
      </c>
      <c r="F141" t="s">
        <v>76</v>
      </c>
      <c r="G141" t="s">
        <v>92</v>
      </c>
    </row>
    <row r="142" spans="1:7">
      <c r="A142">
        <v>1514.3333333333333</v>
      </c>
      <c r="B142">
        <v>677.36062165194244</v>
      </c>
      <c r="C142">
        <v>9</v>
      </c>
      <c r="D142" t="s">
        <v>19</v>
      </c>
      <c r="E142" t="s">
        <v>162</v>
      </c>
      <c r="F142" t="s">
        <v>76</v>
      </c>
      <c r="G142" t="s">
        <v>92</v>
      </c>
    </row>
    <row r="143" spans="1:7">
      <c r="A143">
        <v>1082.8421052631579</v>
      </c>
      <c r="B143">
        <v>532.19182664794585</v>
      </c>
      <c r="C143">
        <v>10</v>
      </c>
      <c r="D143" t="s">
        <v>19</v>
      </c>
      <c r="E143" t="s">
        <v>162</v>
      </c>
      <c r="F143" t="s">
        <v>76</v>
      </c>
      <c r="G143" t="s">
        <v>92</v>
      </c>
    </row>
    <row r="144" spans="1:7">
      <c r="A144">
        <v>138.5</v>
      </c>
      <c r="B144">
        <v>565.33141705650064</v>
      </c>
      <c r="C144">
        <v>11</v>
      </c>
      <c r="D144" t="s">
        <v>19</v>
      </c>
      <c r="E144" t="s">
        <v>162</v>
      </c>
      <c r="F144" t="s">
        <v>76</v>
      </c>
      <c r="G144" t="s">
        <v>92</v>
      </c>
    </row>
    <row r="145" spans="1:7">
      <c r="A145">
        <v>180.77777777777777</v>
      </c>
      <c r="B145">
        <v>264.26396735923805</v>
      </c>
      <c r="C145">
        <v>12</v>
      </c>
      <c r="D145" t="s">
        <v>19</v>
      </c>
      <c r="E145" t="s">
        <v>162</v>
      </c>
      <c r="F145" t="s">
        <v>76</v>
      </c>
      <c r="G145" t="s">
        <v>92</v>
      </c>
    </row>
    <row r="146" spans="1:7">
      <c r="A146">
        <v>1881.0283333333334</v>
      </c>
      <c r="B146">
        <v>388.69996203121246</v>
      </c>
      <c r="C146">
        <v>1</v>
      </c>
      <c r="D146" t="s">
        <v>18</v>
      </c>
      <c r="E146">
        <v>1</v>
      </c>
      <c r="F146" t="s">
        <v>76</v>
      </c>
      <c r="G146" t="s">
        <v>92</v>
      </c>
    </row>
    <row r="147" spans="1:7">
      <c r="A147">
        <v>3746.3020000000001</v>
      </c>
      <c r="B147">
        <v>503.25023115245432</v>
      </c>
      <c r="C147">
        <v>2</v>
      </c>
      <c r="D147" t="s">
        <v>18</v>
      </c>
      <c r="E147">
        <v>1</v>
      </c>
      <c r="F147" t="s">
        <v>76</v>
      </c>
      <c r="G147" t="s">
        <v>92</v>
      </c>
    </row>
    <row r="148" spans="1:7">
      <c r="A148">
        <v>2025.3796000000002</v>
      </c>
      <c r="B148">
        <v>130.81887914517537</v>
      </c>
      <c r="C148">
        <v>3</v>
      </c>
      <c r="D148" t="s">
        <v>18</v>
      </c>
      <c r="E148">
        <v>1</v>
      </c>
      <c r="F148" t="s">
        <v>76</v>
      </c>
      <c r="G148" t="s">
        <v>92</v>
      </c>
    </row>
    <row r="149" spans="1:7">
      <c r="A149">
        <v>2083.4774285714288</v>
      </c>
      <c r="B149">
        <v>279.24858765734012</v>
      </c>
      <c r="C149">
        <v>4</v>
      </c>
      <c r="D149" t="s">
        <v>18</v>
      </c>
      <c r="E149">
        <v>1</v>
      </c>
      <c r="F149" t="s">
        <v>76</v>
      </c>
      <c r="G149" t="s">
        <v>92</v>
      </c>
    </row>
    <row r="150" spans="1:7">
      <c r="A150">
        <v>2916.8578000000002</v>
      </c>
      <c r="B150">
        <v>558.33911550615778</v>
      </c>
      <c r="C150">
        <v>5</v>
      </c>
      <c r="D150" t="s">
        <v>18</v>
      </c>
      <c r="E150">
        <v>1</v>
      </c>
      <c r="F150" t="s">
        <v>76</v>
      </c>
      <c r="G150" t="s">
        <v>92</v>
      </c>
    </row>
    <row r="151" spans="1:7">
      <c r="A151">
        <v>4285.8183333333336</v>
      </c>
      <c r="B151">
        <v>684.53823008321729</v>
      </c>
      <c r="C151">
        <v>6</v>
      </c>
      <c r="D151" t="s">
        <v>18</v>
      </c>
      <c r="E151">
        <v>1</v>
      </c>
      <c r="F151" t="s">
        <v>76</v>
      </c>
      <c r="G151" t="s">
        <v>92</v>
      </c>
    </row>
    <row r="152" spans="1:7">
      <c r="A152">
        <v>4588.7861818181818</v>
      </c>
      <c r="B152">
        <v>526.92974321019574</v>
      </c>
      <c r="C152">
        <v>7</v>
      </c>
      <c r="D152" t="s">
        <v>18</v>
      </c>
      <c r="E152">
        <v>1</v>
      </c>
      <c r="F152" t="s">
        <v>76</v>
      </c>
      <c r="G152" t="s">
        <v>92</v>
      </c>
    </row>
    <row r="153" spans="1:7">
      <c r="A153">
        <v>4766.9529999999995</v>
      </c>
      <c r="B153">
        <v>393.262546075138</v>
      </c>
      <c r="C153">
        <v>8</v>
      </c>
      <c r="D153" t="s">
        <v>18</v>
      </c>
      <c r="E153">
        <v>1</v>
      </c>
      <c r="F153" t="s">
        <v>76</v>
      </c>
      <c r="G153" t="s">
        <v>92</v>
      </c>
    </row>
    <row r="154" spans="1:7">
      <c r="A154">
        <v>4791.0447142857138</v>
      </c>
      <c r="B154">
        <v>1097.1264020197984</v>
      </c>
      <c r="C154">
        <v>9</v>
      </c>
      <c r="D154" t="s">
        <v>18</v>
      </c>
      <c r="E154">
        <v>1</v>
      </c>
      <c r="F154" t="s">
        <v>76</v>
      </c>
      <c r="G154" t="s">
        <v>92</v>
      </c>
    </row>
    <row r="155" spans="1:7">
      <c r="A155">
        <v>4621.6728000000003</v>
      </c>
      <c r="B155">
        <v>693.19695542154068</v>
      </c>
      <c r="C155">
        <v>10</v>
      </c>
      <c r="D155" t="s">
        <v>18</v>
      </c>
      <c r="E155">
        <v>1</v>
      </c>
      <c r="F155" t="s">
        <v>76</v>
      </c>
      <c r="G155" t="s">
        <v>92</v>
      </c>
    </row>
    <row r="156" spans="1:7">
      <c r="A156">
        <v>4982.0232499999993</v>
      </c>
      <c r="B156">
        <v>746.00681769287962</v>
      </c>
      <c r="C156">
        <v>11</v>
      </c>
      <c r="D156" t="s">
        <v>18</v>
      </c>
      <c r="E156">
        <v>1</v>
      </c>
      <c r="F156" t="s">
        <v>76</v>
      </c>
      <c r="G156" t="s">
        <v>92</v>
      </c>
    </row>
    <row r="157" spans="1:7">
      <c r="A157">
        <v>5045.5905000000002</v>
      </c>
      <c r="B157">
        <v>507.35547946237853</v>
      </c>
      <c r="C157">
        <v>12</v>
      </c>
      <c r="D157" t="s">
        <v>18</v>
      </c>
      <c r="E157">
        <v>1</v>
      </c>
      <c r="F157" t="s">
        <v>76</v>
      </c>
      <c r="G157" t="s">
        <v>92</v>
      </c>
    </row>
    <row r="158" spans="1:7">
      <c r="A158">
        <v>1476.6666666666667</v>
      </c>
      <c r="B158">
        <v>422.55216640473338</v>
      </c>
      <c r="C158">
        <v>1</v>
      </c>
      <c r="D158" t="s">
        <v>60</v>
      </c>
      <c r="E158">
        <v>2</v>
      </c>
      <c r="F158" t="s">
        <v>76</v>
      </c>
      <c r="G158" t="s">
        <v>92</v>
      </c>
    </row>
    <row r="159" spans="1:7">
      <c r="A159">
        <v>2333</v>
      </c>
      <c r="B159">
        <v>595.65370252633647</v>
      </c>
      <c r="C159">
        <v>2</v>
      </c>
      <c r="D159" t="s">
        <v>60</v>
      </c>
      <c r="E159">
        <v>2</v>
      </c>
      <c r="F159" t="s">
        <v>76</v>
      </c>
      <c r="G159" t="s">
        <v>92</v>
      </c>
    </row>
    <row r="160" spans="1:7">
      <c r="A160">
        <v>564.5</v>
      </c>
      <c r="B160">
        <v>121.68949557514541</v>
      </c>
      <c r="C160">
        <v>3</v>
      </c>
      <c r="D160" t="s">
        <v>60</v>
      </c>
      <c r="E160">
        <v>2</v>
      </c>
      <c r="F160" t="s">
        <v>76</v>
      </c>
      <c r="G160" t="s">
        <v>92</v>
      </c>
    </row>
    <row r="161" spans="1:7">
      <c r="A161">
        <v>719.25</v>
      </c>
      <c r="B161">
        <v>222.01107329740708</v>
      </c>
      <c r="C161">
        <v>4</v>
      </c>
      <c r="D161" t="s">
        <v>60</v>
      </c>
      <c r="E161">
        <v>2</v>
      </c>
      <c r="F161" t="s">
        <v>76</v>
      </c>
      <c r="G161" t="s">
        <v>92</v>
      </c>
    </row>
    <row r="162" spans="1:7">
      <c r="A162">
        <v>846.75</v>
      </c>
      <c r="B162">
        <v>95.479055294865589</v>
      </c>
      <c r="C162">
        <v>5</v>
      </c>
      <c r="D162" t="s">
        <v>60</v>
      </c>
      <c r="E162">
        <v>2</v>
      </c>
      <c r="F162" t="s">
        <v>76</v>
      </c>
      <c r="G162" t="s">
        <v>92</v>
      </c>
    </row>
    <row r="163" spans="1:7">
      <c r="A163">
        <v>701.33333333333337</v>
      </c>
      <c r="B163">
        <v>284.31297308893011</v>
      </c>
      <c r="C163">
        <v>6</v>
      </c>
      <c r="D163" t="s">
        <v>60</v>
      </c>
      <c r="E163">
        <v>2</v>
      </c>
      <c r="F163" t="s">
        <v>76</v>
      </c>
      <c r="G163" t="s">
        <v>92</v>
      </c>
    </row>
    <row r="164" spans="1:7">
      <c r="A164">
        <v>585.5</v>
      </c>
      <c r="B164">
        <v>302.99620459669126</v>
      </c>
      <c r="C164">
        <v>7</v>
      </c>
      <c r="D164" t="s">
        <v>60</v>
      </c>
      <c r="E164">
        <v>2</v>
      </c>
      <c r="F164" t="s">
        <v>76</v>
      </c>
      <c r="G164" t="s">
        <v>92</v>
      </c>
    </row>
    <row r="165" spans="1:7">
      <c r="A165">
        <v>228</v>
      </c>
      <c r="B165">
        <v>306.39582242582878</v>
      </c>
      <c r="C165">
        <v>8</v>
      </c>
      <c r="D165" t="s">
        <v>60</v>
      </c>
      <c r="E165">
        <v>2</v>
      </c>
      <c r="F165" t="s">
        <v>76</v>
      </c>
      <c r="G165" t="s">
        <v>92</v>
      </c>
    </row>
    <row r="166" spans="1:7">
      <c r="A166">
        <v>118.33333333333333</v>
      </c>
      <c r="B166">
        <v>177.43130125957668</v>
      </c>
      <c r="C166">
        <v>9</v>
      </c>
      <c r="D166" t="s">
        <v>60</v>
      </c>
      <c r="E166">
        <v>2</v>
      </c>
      <c r="F166" t="s">
        <v>76</v>
      </c>
      <c r="G166" t="s">
        <v>92</v>
      </c>
    </row>
    <row r="167" spans="1:7">
      <c r="A167">
        <v>-68.75</v>
      </c>
      <c r="B167">
        <v>180.54062331416347</v>
      </c>
      <c r="C167">
        <v>10</v>
      </c>
      <c r="D167" t="s">
        <v>60</v>
      </c>
      <c r="E167">
        <v>2</v>
      </c>
      <c r="F167" t="s">
        <v>76</v>
      </c>
      <c r="G167" t="s">
        <v>92</v>
      </c>
    </row>
    <row r="168" spans="1:7">
      <c r="A168">
        <v>-175.6</v>
      </c>
      <c r="B168">
        <v>118.3397650834241</v>
      </c>
      <c r="C168">
        <v>11</v>
      </c>
      <c r="D168" t="s">
        <v>60</v>
      </c>
      <c r="E168">
        <v>2</v>
      </c>
      <c r="F168" t="s">
        <v>76</v>
      </c>
      <c r="G168" t="s">
        <v>92</v>
      </c>
    </row>
    <row r="169" spans="1:7">
      <c r="A169">
        <v>33</v>
      </c>
      <c r="B169">
        <v>187.47977668715808</v>
      </c>
      <c r="C169">
        <v>12</v>
      </c>
      <c r="D169" t="s">
        <v>60</v>
      </c>
      <c r="E169">
        <v>2</v>
      </c>
      <c r="F169" t="s">
        <v>76</v>
      </c>
      <c r="G169" t="s">
        <v>92</v>
      </c>
    </row>
    <row r="170" spans="1:7">
      <c r="A170">
        <v>1494</v>
      </c>
      <c r="B170">
        <v>388.85678597653407</v>
      </c>
      <c r="C170">
        <v>1</v>
      </c>
      <c r="D170" t="s">
        <v>19</v>
      </c>
      <c r="E170">
        <v>1</v>
      </c>
      <c r="F170" t="s">
        <v>77</v>
      </c>
      <c r="G170" t="s">
        <v>90</v>
      </c>
    </row>
    <row r="171" spans="1:7">
      <c r="A171">
        <v>3109.6</v>
      </c>
      <c r="B171">
        <v>412.29637398357113</v>
      </c>
      <c r="C171">
        <v>2</v>
      </c>
      <c r="D171" t="s">
        <v>19</v>
      </c>
      <c r="E171">
        <v>1</v>
      </c>
      <c r="F171" t="s">
        <v>77</v>
      </c>
      <c r="G171" t="s">
        <v>90</v>
      </c>
    </row>
    <row r="172" spans="1:7">
      <c r="A172">
        <v>746.16666666666663</v>
      </c>
      <c r="B172">
        <v>134.09312684349894</v>
      </c>
      <c r="C172">
        <v>3</v>
      </c>
      <c r="D172" t="s">
        <v>19</v>
      </c>
      <c r="E172">
        <v>1</v>
      </c>
      <c r="F172" t="s">
        <v>77</v>
      </c>
      <c r="G172" t="s">
        <v>90</v>
      </c>
    </row>
    <row r="173" spans="1:7">
      <c r="A173">
        <v>866.875</v>
      </c>
      <c r="B173">
        <v>198.78878776947442</v>
      </c>
      <c r="C173">
        <v>4</v>
      </c>
      <c r="D173" t="s">
        <v>19</v>
      </c>
      <c r="E173">
        <v>1</v>
      </c>
      <c r="F173" t="s">
        <v>77</v>
      </c>
      <c r="G173" t="s">
        <v>90</v>
      </c>
    </row>
    <row r="174" spans="1:7">
      <c r="A174">
        <v>1127.4285714285713</v>
      </c>
      <c r="B174">
        <v>314.24292998828008</v>
      </c>
      <c r="C174">
        <v>5</v>
      </c>
      <c r="D174" t="s">
        <v>19</v>
      </c>
      <c r="E174">
        <v>1</v>
      </c>
      <c r="F174" t="s">
        <v>77</v>
      </c>
      <c r="G174" t="s">
        <v>90</v>
      </c>
    </row>
    <row r="175" spans="1:7">
      <c r="A175">
        <v>1154.2222222222222</v>
      </c>
      <c r="B175">
        <v>242.79970025608452</v>
      </c>
      <c r="C175">
        <v>6</v>
      </c>
      <c r="D175" t="s">
        <v>19</v>
      </c>
      <c r="E175">
        <v>1</v>
      </c>
      <c r="F175" t="s">
        <v>77</v>
      </c>
      <c r="G175" t="s">
        <v>90</v>
      </c>
    </row>
    <row r="176" spans="1:7">
      <c r="A176">
        <v>1621.875</v>
      </c>
      <c r="B176">
        <v>678.20170566832735</v>
      </c>
      <c r="C176">
        <v>7</v>
      </c>
      <c r="D176" t="s">
        <v>19</v>
      </c>
      <c r="E176">
        <v>1</v>
      </c>
      <c r="F176" t="s">
        <v>77</v>
      </c>
      <c r="G176" t="s">
        <v>90</v>
      </c>
    </row>
    <row r="177" spans="1:7">
      <c r="A177">
        <v>1945</v>
      </c>
      <c r="B177">
        <v>660.17596721806501</v>
      </c>
      <c r="C177">
        <v>8</v>
      </c>
      <c r="D177" t="s">
        <v>19</v>
      </c>
      <c r="E177">
        <v>1</v>
      </c>
      <c r="F177" t="s">
        <v>77</v>
      </c>
      <c r="G177" t="s">
        <v>90</v>
      </c>
    </row>
    <row r="178" spans="1:7">
      <c r="A178">
        <v>902.36363636363637</v>
      </c>
      <c r="B178">
        <v>625.28397912105061</v>
      </c>
      <c r="C178">
        <v>9</v>
      </c>
      <c r="D178" t="s">
        <v>19</v>
      </c>
      <c r="E178">
        <v>1</v>
      </c>
      <c r="F178" t="s">
        <v>77</v>
      </c>
      <c r="G178" t="s">
        <v>90</v>
      </c>
    </row>
    <row r="179" spans="1:7">
      <c r="A179">
        <v>861.125</v>
      </c>
      <c r="B179">
        <v>383.37875248524517</v>
      </c>
      <c r="C179">
        <v>10</v>
      </c>
      <c r="D179" t="s">
        <v>19</v>
      </c>
      <c r="E179">
        <v>1</v>
      </c>
      <c r="F179" t="s">
        <v>77</v>
      </c>
      <c r="G179" t="s">
        <v>90</v>
      </c>
    </row>
    <row r="180" spans="1:7">
      <c r="A180">
        <v>76.8</v>
      </c>
      <c r="B180">
        <v>87.593949562740917</v>
      </c>
      <c r="C180">
        <v>11</v>
      </c>
      <c r="D180" t="s">
        <v>19</v>
      </c>
      <c r="E180">
        <v>1</v>
      </c>
      <c r="F180" t="s">
        <v>77</v>
      </c>
      <c r="G180" t="s">
        <v>90</v>
      </c>
    </row>
    <row r="181" spans="1:7">
      <c r="A181">
        <v>35.714285714285715</v>
      </c>
      <c r="B181">
        <v>237.73424538457101</v>
      </c>
      <c r="C181">
        <v>12</v>
      </c>
      <c r="D181" t="s">
        <v>19</v>
      </c>
      <c r="E181">
        <v>1</v>
      </c>
      <c r="F181" t="s">
        <v>77</v>
      </c>
      <c r="G181" t="s">
        <v>90</v>
      </c>
    </row>
    <row r="182" spans="1:7">
      <c r="A182">
        <v>1407</v>
      </c>
      <c r="B182">
        <v>261.58555005963154</v>
      </c>
      <c r="C182">
        <v>1</v>
      </c>
      <c r="D182" t="s">
        <v>19</v>
      </c>
      <c r="E182">
        <v>2</v>
      </c>
      <c r="F182" t="s">
        <v>77</v>
      </c>
      <c r="G182" t="s">
        <v>90</v>
      </c>
    </row>
    <row r="183" spans="1:7">
      <c r="A183">
        <v>2961.3333333333335</v>
      </c>
      <c r="B183">
        <v>268.92440077712052</v>
      </c>
      <c r="C183">
        <v>2</v>
      </c>
      <c r="D183" t="s">
        <v>19</v>
      </c>
      <c r="E183">
        <v>2</v>
      </c>
      <c r="F183" t="s">
        <v>77</v>
      </c>
      <c r="G183" t="s">
        <v>90</v>
      </c>
    </row>
    <row r="184" spans="1:7">
      <c r="A184">
        <v>936.25</v>
      </c>
      <c r="B184">
        <v>105.81863414981945</v>
      </c>
      <c r="C184">
        <v>3</v>
      </c>
      <c r="D184" t="s">
        <v>19</v>
      </c>
      <c r="E184">
        <v>2</v>
      </c>
      <c r="F184" t="s">
        <v>77</v>
      </c>
      <c r="G184" t="s">
        <v>90</v>
      </c>
    </row>
    <row r="185" spans="1:7">
      <c r="A185">
        <v>978.5</v>
      </c>
      <c r="B185">
        <v>268.70864022828391</v>
      </c>
      <c r="C185">
        <v>4</v>
      </c>
      <c r="D185" t="s">
        <v>19</v>
      </c>
      <c r="E185">
        <v>2</v>
      </c>
      <c r="F185" t="s">
        <v>77</v>
      </c>
      <c r="G185" t="s">
        <v>90</v>
      </c>
    </row>
    <row r="186" spans="1:7">
      <c r="A186">
        <v>1024.3333333333333</v>
      </c>
      <c r="B186">
        <v>275.16237630412564</v>
      </c>
      <c r="C186">
        <v>5</v>
      </c>
      <c r="D186" t="s">
        <v>19</v>
      </c>
      <c r="E186">
        <v>2</v>
      </c>
      <c r="F186" t="s">
        <v>77</v>
      </c>
      <c r="G186" t="s">
        <v>90</v>
      </c>
    </row>
    <row r="187" spans="1:7">
      <c r="A187">
        <v>1417</v>
      </c>
      <c r="B187">
        <v>425.72134861510841</v>
      </c>
      <c r="C187">
        <v>6</v>
      </c>
      <c r="D187" t="s">
        <v>19</v>
      </c>
      <c r="E187">
        <v>2</v>
      </c>
      <c r="F187" t="s">
        <v>77</v>
      </c>
      <c r="G187" t="s">
        <v>90</v>
      </c>
    </row>
    <row r="188" spans="1:7">
      <c r="A188">
        <v>1608</v>
      </c>
      <c r="B188">
        <v>323.43623792024295</v>
      </c>
      <c r="C188">
        <v>7</v>
      </c>
      <c r="D188" t="s">
        <v>19</v>
      </c>
      <c r="E188">
        <v>2</v>
      </c>
      <c r="F188" t="s">
        <v>77</v>
      </c>
      <c r="G188" t="s">
        <v>90</v>
      </c>
    </row>
    <row r="189" spans="1:7">
      <c r="A189">
        <v>1196.1666666666667</v>
      </c>
      <c r="B189">
        <v>711.89870534133354</v>
      </c>
      <c r="C189">
        <v>8</v>
      </c>
      <c r="D189" t="s">
        <v>19</v>
      </c>
      <c r="E189">
        <v>2</v>
      </c>
      <c r="F189" t="s">
        <v>77</v>
      </c>
      <c r="G189" t="s">
        <v>90</v>
      </c>
    </row>
    <row r="190" spans="1:7">
      <c r="A190">
        <v>813.75</v>
      </c>
      <c r="B190">
        <v>419.10728538963224</v>
      </c>
      <c r="C190">
        <v>9</v>
      </c>
      <c r="D190" t="s">
        <v>19</v>
      </c>
      <c r="E190">
        <v>2</v>
      </c>
      <c r="F190" t="s">
        <v>77</v>
      </c>
      <c r="G190" t="s">
        <v>90</v>
      </c>
    </row>
    <row r="191" spans="1:7">
      <c r="A191">
        <v>-300.66666666666669</v>
      </c>
      <c r="B191">
        <v>497.93707768485501</v>
      </c>
      <c r="C191">
        <v>10</v>
      </c>
      <c r="D191" t="s">
        <v>19</v>
      </c>
      <c r="E191">
        <v>2</v>
      </c>
      <c r="F191" t="s">
        <v>77</v>
      </c>
      <c r="G191" t="s">
        <v>90</v>
      </c>
    </row>
    <row r="192" spans="1:7">
      <c r="A192">
        <v>472.57142857142856</v>
      </c>
      <c r="B192">
        <v>388.54294363380097</v>
      </c>
      <c r="C192">
        <v>11</v>
      </c>
      <c r="D192" t="s">
        <v>19</v>
      </c>
      <c r="E192">
        <v>2</v>
      </c>
      <c r="F192" t="s">
        <v>77</v>
      </c>
      <c r="G192" t="s">
        <v>90</v>
      </c>
    </row>
    <row r="193" spans="1:7">
      <c r="A193">
        <v>-98.666666666666671</v>
      </c>
      <c r="B193">
        <v>215.64863397047833</v>
      </c>
      <c r="C193">
        <v>12</v>
      </c>
      <c r="D193" t="s">
        <v>19</v>
      </c>
      <c r="E193">
        <v>2</v>
      </c>
      <c r="F193" t="s">
        <v>77</v>
      </c>
      <c r="G193" t="s">
        <v>90</v>
      </c>
    </row>
    <row r="194" spans="1:7">
      <c r="A194">
        <v>1557.4251666666667</v>
      </c>
      <c r="B194">
        <v>266.45956734440335</v>
      </c>
      <c r="C194">
        <v>1</v>
      </c>
      <c r="D194" t="s">
        <v>18</v>
      </c>
      <c r="E194">
        <v>1</v>
      </c>
      <c r="F194" t="s">
        <v>77</v>
      </c>
      <c r="G194" t="s">
        <v>90</v>
      </c>
    </row>
    <row r="195" spans="1:7">
      <c r="A195">
        <v>3122.4939999999997</v>
      </c>
      <c r="B195">
        <v>375.0002028739475</v>
      </c>
      <c r="C195">
        <v>2</v>
      </c>
      <c r="D195" t="s">
        <v>18</v>
      </c>
      <c r="E195">
        <v>1</v>
      </c>
      <c r="F195" t="s">
        <v>77</v>
      </c>
      <c r="G195" t="s">
        <v>90</v>
      </c>
    </row>
    <row r="196" spans="1:7">
      <c r="A196">
        <v>1462.9818333333333</v>
      </c>
      <c r="B196">
        <v>326.97240321801894</v>
      </c>
      <c r="C196">
        <v>3</v>
      </c>
      <c r="D196" t="s">
        <v>18</v>
      </c>
      <c r="E196">
        <v>1</v>
      </c>
      <c r="F196" t="s">
        <v>77</v>
      </c>
      <c r="G196" t="s">
        <v>90</v>
      </c>
    </row>
    <row r="197" spans="1:7">
      <c r="A197">
        <v>1981.5792000000001</v>
      </c>
      <c r="B197">
        <v>433.51509238860314</v>
      </c>
      <c r="C197">
        <v>4</v>
      </c>
      <c r="D197" t="s">
        <v>18</v>
      </c>
      <c r="E197">
        <v>1</v>
      </c>
      <c r="F197" t="s">
        <v>77</v>
      </c>
      <c r="G197" t="s">
        <v>90</v>
      </c>
    </row>
    <row r="198" spans="1:7">
      <c r="A198">
        <v>2991.4283333333333</v>
      </c>
      <c r="B198">
        <v>530.85974060072249</v>
      </c>
      <c r="C198">
        <v>5</v>
      </c>
      <c r="D198" t="s">
        <v>18</v>
      </c>
      <c r="E198">
        <v>1</v>
      </c>
      <c r="F198" t="s">
        <v>77</v>
      </c>
      <c r="G198" t="s">
        <v>90</v>
      </c>
    </row>
    <row r="199" spans="1:7">
      <c r="A199">
        <v>4917.5156666666662</v>
      </c>
      <c r="B199">
        <v>278.29321177180498</v>
      </c>
      <c r="C199">
        <v>6</v>
      </c>
      <c r="D199" t="s">
        <v>18</v>
      </c>
      <c r="E199">
        <v>1</v>
      </c>
      <c r="F199" t="s">
        <v>77</v>
      </c>
      <c r="G199" t="s">
        <v>90</v>
      </c>
    </row>
    <row r="200" spans="1:7">
      <c r="A200">
        <v>5969.6543333333329</v>
      </c>
      <c r="B200">
        <v>563.73334652463711</v>
      </c>
      <c r="C200">
        <v>7</v>
      </c>
      <c r="D200" t="s">
        <v>18</v>
      </c>
      <c r="E200">
        <v>1</v>
      </c>
      <c r="F200" t="s">
        <v>77</v>
      </c>
      <c r="G200" t="s">
        <v>90</v>
      </c>
    </row>
    <row r="201" spans="1:7">
      <c r="A201">
        <v>7544.6590000000006</v>
      </c>
      <c r="B201">
        <v>1805.2322725298661</v>
      </c>
      <c r="C201">
        <v>8</v>
      </c>
      <c r="D201" t="s">
        <v>18</v>
      </c>
      <c r="E201">
        <v>1</v>
      </c>
      <c r="F201" t="s">
        <v>77</v>
      </c>
      <c r="G201" t="s">
        <v>90</v>
      </c>
    </row>
    <row r="202" spans="1:7">
      <c r="A202">
        <v>8110.911000000001</v>
      </c>
      <c r="B202">
        <v>917.04888436745523</v>
      </c>
      <c r="C202">
        <v>9</v>
      </c>
      <c r="D202" t="s">
        <v>18</v>
      </c>
      <c r="E202">
        <v>1</v>
      </c>
      <c r="F202" t="s">
        <v>77</v>
      </c>
      <c r="G202" t="s">
        <v>90</v>
      </c>
    </row>
    <row r="203" spans="1:7">
      <c r="A203">
        <v>8272.639666666666</v>
      </c>
      <c r="B203">
        <v>1770.341889095293</v>
      </c>
      <c r="C203">
        <v>10</v>
      </c>
      <c r="D203" t="s">
        <v>18</v>
      </c>
      <c r="E203">
        <v>1</v>
      </c>
      <c r="F203" t="s">
        <v>77</v>
      </c>
      <c r="G203" t="s">
        <v>90</v>
      </c>
    </row>
    <row r="204" spans="1:7">
      <c r="A204">
        <v>8491.4047499999997</v>
      </c>
      <c r="B204">
        <v>1510.9494816435531</v>
      </c>
      <c r="C204">
        <v>11</v>
      </c>
      <c r="D204" t="s">
        <v>18</v>
      </c>
      <c r="E204">
        <v>1</v>
      </c>
      <c r="F204" t="s">
        <v>77</v>
      </c>
      <c r="G204" t="s">
        <v>90</v>
      </c>
    </row>
    <row r="205" spans="1:7">
      <c r="A205">
        <v>6515.8789999999999</v>
      </c>
      <c r="B205">
        <v>417.03107631985938</v>
      </c>
      <c r="C205">
        <v>12</v>
      </c>
      <c r="D205" t="s">
        <v>18</v>
      </c>
      <c r="E205">
        <v>1</v>
      </c>
      <c r="F205" t="s">
        <v>77</v>
      </c>
      <c r="G205" t="s">
        <v>90</v>
      </c>
    </row>
    <row r="206" spans="1:7">
      <c r="A206">
        <v>1525.5</v>
      </c>
      <c r="B206">
        <v>244.58468199514593</v>
      </c>
      <c r="C206">
        <v>1</v>
      </c>
      <c r="D206" t="s">
        <v>60</v>
      </c>
      <c r="E206">
        <v>2</v>
      </c>
      <c r="F206" t="s">
        <v>77</v>
      </c>
      <c r="G206" t="s">
        <v>90</v>
      </c>
    </row>
    <row r="207" spans="1:7">
      <c r="A207">
        <v>3259</v>
      </c>
      <c r="B207">
        <v>462.93800880895492</v>
      </c>
      <c r="C207">
        <v>2</v>
      </c>
      <c r="D207" t="s">
        <v>60</v>
      </c>
      <c r="E207">
        <v>2</v>
      </c>
      <c r="F207" t="s">
        <v>77</v>
      </c>
      <c r="G207" t="s">
        <v>90</v>
      </c>
    </row>
    <row r="208" spans="1:7">
      <c r="A208">
        <v>1026.5999999999999</v>
      </c>
      <c r="B208">
        <v>40.302605374838983</v>
      </c>
      <c r="C208">
        <v>3</v>
      </c>
      <c r="D208" t="s">
        <v>60</v>
      </c>
      <c r="E208">
        <v>2</v>
      </c>
      <c r="F208" t="s">
        <v>77</v>
      </c>
      <c r="G208" t="s">
        <v>90</v>
      </c>
    </row>
    <row r="209" spans="1:7">
      <c r="A209">
        <v>1286.25</v>
      </c>
      <c r="B209">
        <v>157.88682655623933</v>
      </c>
      <c r="C209">
        <v>4</v>
      </c>
      <c r="D209" t="s">
        <v>60</v>
      </c>
      <c r="E209">
        <v>2</v>
      </c>
      <c r="F209" t="s">
        <v>77</v>
      </c>
      <c r="G209" t="s">
        <v>90</v>
      </c>
    </row>
    <row r="210" spans="1:7">
      <c r="A210">
        <v>1229.5</v>
      </c>
      <c r="B210">
        <v>249.27093693409185</v>
      </c>
      <c r="C210">
        <v>5</v>
      </c>
      <c r="D210" t="s">
        <v>60</v>
      </c>
      <c r="E210">
        <v>2</v>
      </c>
      <c r="F210" t="s">
        <v>77</v>
      </c>
      <c r="G210" t="s">
        <v>90</v>
      </c>
    </row>
    <row r="211" spans="1:7">
      <c r="A211">
        <v>1752.2857142857142</v>
      </c>
      <c r="B211">
        <v>516.9918485126932</v>
      </c>
      <c r="C211">
        <v>6</v>
      </c>
      <c r="D211" t="s">
        <v>60</v>
      </c>
      <c r="E211">
        <v>2</v>
      </c>
      <c r="F211" t="s">
        <v>77</v>
      </c>
      <c r="G211" t="s">
        <v>90</v>
      </c>
    </row>
    <row r="212" spans="1:7">
      <c r="A212">
        <v>2862</v>
      </c>
      <c r="B212">
        <v>1084.9313342327246</v>
      </c>
      <c r="C212">
        <v>7</v>
      </c>
      <c r="D212" t="s">
        <v>60</v>
      </c>
      <c r="E212">
        <v>2</v>
      </c>
      <c r="F212" t="s">
        <v>77</v>
      </c>
      <c r="G212" t="s">
        <v>90</v>
      </c>
    </row>
    <row r="213" spans="1:7">
      <c r="A213">
        <v>4080.3333333333335</v>
      </c>
      <c r="B213">
        <v>1487.5942547168786</v>
      </c>
      <c r="C213">
        <v>8</v>
      </c>
      <c r="D213" t="s">
        <v>60</v>
      </c>
      <c r="E213">
        <v>2</v>
      </c>
      <c r="F213" t="s">
        <v>77</v>
      </c>
      <c r="G213" t="s">
        <v>90</v>
      </c>
    </row>
    <row r="214" spans="1:7">
      <c r="A214">
        <v>4666.8888888888887</v>
      </c>
      <c r="B214">
        <v>920.06568304176631</v>
      </c>
      <c r="C214">
        <v>9</v>
      </c>
      <c r="D214" t="s">
        <v>60</v>
      </c>
      <c r="E214">
        <v>2</v>
      </c>
      <c r="F214" t="s">
        <v>77</v>
      </c>
      <c r="G214" t="s">
        <v>90</v>
      </c>
    </row>
    <row r="215" spans="1:7">
      <c r="A215">
        <v>3324.5</v>
      </c>
      <c r="B215">
        <v>758.18909250924992</v>
      </c>
      <c r="C215">
        <v>10</v>
      </c>
      <c r="D215" t="s">
        <v>60</v>
      </c>
      <c r="E215">
        <v>2</v>
      </c>
      <c r="F215" t="s">
        <v>77</v>
      </c>
      <c r="G215" t="s">
        <v>90</v>
      </c>
    </row>
    <row r="216" spans="1:7">
      <c r="A216">
        <v>4054.5</v>
      </c>
      <c r="B216">
        <v>1351.1364352524383</v>
      </c>
      <c r="C216">
        <v>11</v>
      </c>
      <c r="D216" t="s">
        <v>60</v>
      </c>
      <c r="E216">
        <v>2</v>
      </c>
      <c r="F216" t="s">
        <v>77</v>
      </c>
      <c r="G216" t="s">
        <v>90</v>
      </c>
    </row>
    <row r="217" spans="1:7">
      <c r="A217">
        <v>4407.3999999999996</v>
      </c>
      <c r="B217">
        <v>1368.303621277091</v>
      </c>
      <c r="C217">
        <v>12</v>
      </c>
      <c r="D217" t="s">
        <v>60</v>
      </c>
      <c r="E217">
        <v>2</v>
      </c>
      <c r="F217" t="s">
        <v>77</v>
      </c>
      <c r="G217" t="s">
        <v>90</v>
      </c>
    </row>
    <row r="218" spans="1:7">
      <c r="A218">
        <v>2362.3401249999997</v>
      </c>
      <c r="B218">
        <v>319.8888683395449</v>
      </c>
      <c r="C218">
        <v>1</v>
      </c>
      <c r="D218" t="s">
        <v>19</v>
      </c>
      <c r="E218">
        <v>1</v>
      </c>
      <c r="F218" t="s">
        <v>78</v>
      </c>
      <c r="G218" t="s">
        <v>90</v>
      </c>
    </row>
    <row r="219" spans="1:7">
      <c r="A219">
        <v>5151.9422857142863</v>
      </c>
      <c r="B219">
        <v>1213.1360619362624</v>
      </c>
      <c r="C219">
        <v>2</v>
      </c>
      <c r="D219" t="s">
        <v>19</v>
      </c>
      <c r="E219">
        <v>1</v>
      </c>
      <c r="F219" t="s">
        <v>78</v>
      </c>
      <c r="G219" t="s">
        <v>90</v>
      </c>
    </row>
    <row r="220" spans="1:7">
      <c r="A220">
        <v>1616.3333333333333</v>
      </c>
      <c r="B220">
        <v>387.90754912306977</v>
      </c>
      <c r="C220">
        <v>3</v>
      </c>
      <c r="D220" t="s">
        <v>19</v>
      </c>
      <c r="E220">
        <v>1</v>
      </c>
      <c r="F220" t="s">
        <v>78</v>
      </c>
      <c r="G220" t="s">
        <v>90</v>
      </c>
    </row>
    <row r="221" spans="1:7">
      <c r="A221">
        <v>1588.6</v>
      </c>
      <c r="B221">
        <v>278.56112435155018</v>
      </c>
      <c r="C221">
        <v>4</v>
      </c>
      <c r="D221" t="s">
        <v>19</v>
      </c>
      <c r="E221">
        <v>1</v>
      </c>
      <c r="F221" t="s">
        <v>78</v>
      </c>
      <c r="G221" t="s">
        <v>90</v>
      </c>
    </row>
    <row r="222" spans="1:7">
      <c r="A222">
        <v>2157.8888888888887</v>
      </c>
      <c r="B222">
        <v>415.53412749268983</v>
      </c>
      <c r="C222">
        <v>5</v>
      </c>
      <c r="D222" t="s">
        <v>19</v>
      </c>
      <c r="E222">
        <v>1</v>
      </c>
      <c r="F222" t="s">
        <v>78</v>
      </c>
      <c r="G222" t="s">
        <v>90</v>
      </c>
    </row>
    <row r="223" spans="1:7">
      <c r="A223">
        <v>2925.2</v>
      </c>
      <c r="B223">
        <v>627.54497846767867</v>
      </c>
      <c r="C223">
        <v>6</v>
      </c>
      <c r="D223" t="s">
        <v>19</v>
      </c>
      <c r="E223">
        <v>1</v>
      </c>
      <c r="F223" t="s">
        <v>78</v>
      </c>
      <c r="G223" t="s">
        <v>90</v>
      </c>
    </row>
    <row r="224" spans="1:7">
      <c r="A224">
        <v>5148.75</v>
      </c>
      <c r="B224">
        <v>422.54222105184778</v>
      </c>
      <c r="C224">
        <v>7</v>
      </c>
      <c r="D224" t="s">
        <v>19</v>
      </c>
      <c r="E224">
        <v>1</v>
      </c>
      <c r="F224" t="s">
        <v>78</v>
      </c>
      <c r="G224" t="s">
        <v>90</v>
      </c>
    </row>
    <row r="225" spans="1:7">
      <c r="A225">
        <v>5288.666666666667</v>
      </c>
      <c r="B225">
        <v>1204.6011234706152</v>
      </c>
      <c r="C225">
        <v>8</v>
      </c>
      <c r="D225" t="s">
        <v>19</v>
      </c>
      <c r="E225">
        <v>1</v>
      </c>
      <c r="F225" t="s">
        <v>78</v>
      </c>
      <c r="G225" t="s">
        <v>90</v>
      </c>
    </row>
    <row r="226" spans="1:7">
      <c r="A226">
        <v>4746.833333333333</v>
      </c>
      <c r="B226">
        <v>1091.6957479355719</v>
      </c>
      <c r="C226">
        <v>9</v>
      </c>
      <c r="D226" t="s">
        <v>19</v>
      </c>
      <c r="E226">
        <v>1</v>
      </c>
      <c r="F226" t="s">
        <v>78</v>
      </c>
      <c r="G226" t="s">
        <v>90</v>
      </c>
    </row>
    <row r="227" spans="1:7">
      <c r="A227">
        <v>2821.6666666666665</v>
      </c>
      <c r="B227">
        <v>444.71009283202375</v>
      </c>
      <c r="C227">
        <v>10</v>
      </c>
      <c r="D227" t="s">
        <v>19</v>
      </c>
      <c r="E227">
        <v>1</v>
      </c>
      <c r="F227" t="s">
        <v>78</v>
      </c>
      <c r="G227" t="s">
        <v>90</v>
      </c>
    </row>
    <row r="228" spans="1:7">
      <c r="A228">
        <v>1448.3571428571429</v>
      </c>
      <c r="B228">
        <v>640.13827918936101</v>
      </c>
      <c r="C228">
        <v>11</v>
      </c>
      <c r="D228" t="s">
        <v>19</v>
      </c>
      <c r="E228">
        <v>1</v>
      </c>
      <c r="F228" t="s">
        <v>78</v>
      </c>
      <c r="G228" t="s">
        <v>90</v>
      </c>
    </row>
    <row r="229" spans="1:7">
      <c r="A229">
        <v>610.4</v>
      </c>
      <c r="B229">
        <v>467.67755986363085</v>
      </c>
      <c r="C229">
        <v>12</v>
      </c>
      <c r="D229" t="s">
        <v>19</v>
      </c>
      <c r="E229">
        <v>1</v>
      </c>
      <c r="F229" t="s">
        <v>78</v>
      </c>
      <c r="G229" t="s">
        <v>90</v>
      </c>
    </row>
    <row r="230" spans="1:7">
      <c r="A230">
        <v>2539.6</v>
      </c>
      <c r="B230">
        <v>636.0812055075985</v>
      </c>
      <c r="C230">
        <v>1</v>
      </c>
      <c r="D230" t="s">
        <v>19</v>
      </c>
      <c r="E230">
        <v>2</v>
      </c>
      <c r="F230" t="s">
        <v>78</v>
      </c>
      <c r="G230" t="s">
        <v>90</v>
      </c>
    </row>
    <row r="231" spans="1:7">
      <c r="A231">
        <v>3792.6</v>
      </c>
      <c r="B231">
        <v>873.35634193609701</v>
      </c>
      <c r="C231">
        <v>2</v>
      </c>
      <c r="D231" t="s">
        <v>19</v>
      </c>
      <c r="E231">
        <v>2</v>
      </c>
      <c r="F231" t="s">
        <v>78</v>
      </c>
      <c r="G231" t="s">
        <v>90</v>
      </c>
    </row>
    <row r="232" spans="1:7">
      <c r="A232">
        <v>1466.3333333333333</v>
      </c>
      <c r="B232">
        <v>415.57750981816474</v>
      </c>
      <c r="C232">
        <v>3</v>
      </c>
      <c r="D232" t="s">
        <v>19</v>
      </c>
      <c r="E232">
        <v>2</v>
      </c>
      <c r="F232" t="s">
        <v>78</v>
      </c>
      <c r="G232" t="s">
        <v>90</v>
      </c>
    </row>
    <row r="233" spans="1:7">
      <c r="A233">
        <v>1751.4</v>
      </c>
      <c r="B233">
        <v>180.48628756778172</v>
      </c>
      <c r="C233">
        <v>4</v>
      </c>
      <c r="D233" t="s">
        <v>19</v>
      </c>
      <c r="E233">
        <v>2</v>
      </c>
      <c r="F233" t="s">
        <v>78</v>
      </c>
      <c r="G233" t="s">
        <v>90</v>
      </c>
    </row>
    <row r="234" spans="1:7">
      <c r="A234">
        <v>2635</v>
      </c>
      <c r="B234">
        <v>339.19168621886945</v>
      </c>
      <c r="C234">
        <v>5</v>
      </c>
      <c r="D234" t="s">
        <v>19</v>
      </c>
      <c r="E234">
        <v>2</v>
      </c>
      <c r="F234" t="s">
        <v>78</v>
      </c>
      <c r="G234" t="s">
        <v>90</v>
      </c>
    </row>
    <row r="235" spans="1:7">
      <c r="A235">
        <v>2867.8</v>
      </c>
      <c r="B235">
        <v>1071.7395672456996</v>
      </c>
      <c r="C235">
        <v>6</v>
      </c>
      <c r="D235" t="s">
        <v>19</v>
      </c>
      <c r="E235">
        <v>2</v>
      </c>
      <c r="F235" t="s">
        <v>78</v>
      </c>
      <c r="G235" t="s">
        <v>90</v>
      </c>
    </row>
    <row r="236" spans="1:7">
      <c r="A236">
        <v>3171.8333333333335</v>
      </c>
      <c r="B236">
        <v>998.18824209998945</v>
      </c>
      <c r="C236">
        <v>7</v>
      </c>
      <c r="D236" t="s">
        <v>19</v>
      </c>
      <c r="E236">
        <v>2</v>
      </c>
      <c r="F236" t="s">
        <v>78</v>
      </c>
      <c r="G236" t="s">
        <v>90</v>
      </c>
    </row>
    <row r="237" spans="1:7">
      <c r="A237">
        <v>2990</v>
      </c>
      <c r="B237">
        <v>941.93878074249949</v>
      </c>
      <c r="C237">
        <v>8</v>
      </c>
      <c r="D237" t="s">
        <v>19</v>
      </c>
      <c r="E237">
        <v>2</v>
      </c>
      <c r="F237" t="s">
        <v>78</v>
      </c>
      <c r="G237" t="s">
        <v>90</v>
      </c>
    </row>
    <row r="238" spans="1:7">
      <c r="A238">
        <v>2340.1666666666665</v>
      </c>
      <c r="B238">
        <v>1131.5437979445014</v>
      </c>
      <c r="C238">
        <v>9</v>
      </c>
      <c r="D238" t="s">
        <v>19</v>
      </c>
      <c r="E238">
        <v>2</v>
      </c>
      <c r="F238" t="s">
        <v>78</v>
      </c>
      <c r="G238" t="s">
        <v>90</v>
      </c>
    </row>
    <row r="239" spans="1:7">
      <c r="A239">
        <v>1080.7</v>
      </c>
      <c r="B239">
        <v>719.2193375845477</v>
      </c>
      <c r="C239">
        <v>10</v>
      </c>
      <c r="D239" t="s">
        <v>19</v>
      </c>
      <c r="E239">
        <v>2</v>
      </c>
      <c r="F239" t="s">
        <v>78</v>
      </c>
      <c r="G239" t="s">
        <v>90</v>
      </c>
    </row>
    <row r="240" spans="1:7">
      <c r="A240">
        <v>-98.5</v>
      </c>
      <c r="B240">
        <v>270.49491677294048</v>
      </c>
      <c r="C240">
        <v>11</v>
      </c>
      <c r="D240" t="s">
        <v>19</v>
      </c>
      <c r="E240">
        <v>2</v>
      </c>
      <c r="F240" t="s">
        <v>78</v>
      </c>
      <c r="G240" t="s">
        <v>90</v>
      </c>
    </row>
    <row r="241" spans="1:7">
      <c r="A241">
        <v>731.25</v>
      </c>
      <c r="B241">
        <v>458.23161641872144</v>
      </c>
      <c r="C241">
        <v>12</v>
      </c>
      <c r="D241" t="s">
        <v>19</v>
      </c>
      <c r="E241">
        <v>2</v>
      </c>
      <c r="F241" t="s">
        <v>78</v>
      </c>
      <c r="G241" t="s">
        <v>90</v>
      </c>
    </row>
    <row r="242" spans="1:7">
      <c r="A242">
        <v>2913.3683333333333</v>
      </c>
      <c r="B242">
        <v>317.93549708759065</v>
      </c>
      <c r="C242">
        <v>1</v>
      </c>
      <c r="D242" t="s">
        <v>18</v>
      </c>
      <c r="E242">
        <v>1</v>
      </c>
      <c r="F242" t="s">
        <v>78</v>
      </c>
      <c r="G242" t="s">
        <v>90</v>
      </c>
    </row>
    <row r="243" spans="1:7">
      <c r="A243">
        <v>4982.0518333333339</v>
      </c>
      <c r="B243">
        <v>831.31526274101202</v>
      </c>
      <c r="C243">
        <v>2</v>
      </c>
      <c r="D243" t="s">
        <v>18</v>
      </c>
      <c r="E243">
        <v>1</v>
      </c>
      <c r="F243" t="s">
        <v>78</v>
      </c>
      <c r="G243" t="s">
        <v>90</v>
      </c>
    </row>
    <row r="244" spans="1:7">
      <c r="A244">
        <v>2417.3367499999999</v>
      </c>
      <c r="B244">
        <v>593.76942433953366</v>
      </c>
      <c r="C244">
        <v>3</v>
      </c>
      <c r="D244" t="s">
        <v>18</v>
      </c>
      <c r="E244">
        <v>1</v>
      </c>
      <c r="F244" t="s">
        <v>78</v>
      </c>
      <c r="G244" t="s">
        <v>90</v>
      </c>
    </row>
    <row r="245" spans="1:7">
      <c r="A245">
        <v>2388.9136666666668</v>
      </c>
      <c r="B245">
        <v>429.5040508710789</v>
      </c>
      <c r="C245">
        <v>4</v>
      </c>
      <c r="D245" t="s">
        <v>18</v>
      </c>
      <c r="E245">
        <v>1</v>
      </c>
      <c r="F245" t="s">
        <v>78</v>
      </c>
      <c r="G245" t="s">
        <v>90</v>
      </c>
    </row>
    <row r="246" spans="1:7">
      <c r="A246">
        <v>3559.8061428571423</v>
      </c>
      <c r="B246">
        <v>1226.6674845404573</v>
      </c>
      <c r="C246">
        <v>5</v>
      </c>
      <c r="D246" t="s">
        <v>18</v>
      </c>
      <c r="E246">
        <v>1</v>
      </c>
      <c r="F246" t="s">
        <v>78</v>
      </c>
      <c r="G246" t="s">
        <v>90</v>
      </c>
    </row>
    <row r="247" spans="1:7">
      <c r="A247">
        <v>4814.7498000000005</v>
      </c>
      <c r="B247">
        <v>629.11324243003924</v>
      </c>
      <c r="C247">
        <v>6</v>
      </c>
      <c r="D247" t="s">
        <v>18</v>
      </c>
      <c r="E247">
        <v>1</v>
      </c>
      <c r="F247" t="s">
        <v>78</v>
      </c>
      <c r="G247" t="s">
        <v>90</v>
      </c>
    </row>
    <row r="248" spans="1:7">
      <c r="A248">
        <v>5721.8590833333337</v>
      </c>
      <c r="B248">
        <v>1416.4735340992199</v>
      </c>
      <c r="C248">
        <v>7</v>
      </c>
      <c r="D248" t="s">
        <v>18</v>
      </c>
      <c r="E248">
        <v>1</v>
      </c>
      <c r="F248" t="s">
        <v>78</v>
      </c>
      <c r="G248" t="s">
        <v>90</v>
      </c>
    </row>
    <row r="249" spans="1:7">
      <c r="A249">
        <v>7626.8054166666661</v>
      </c>
      <c r="B249">
        <v>1426.7105917344188</v>
      </c>
      <c r="C249">
        <v>8</v>
      </c>
      <c r="D249" t="s">
        <v>18</v>
      </c>
      <c r="E249">
        <v>1</v>
      </c>
      <c r="F249" t="s">
        <v>78</v>
      </c>
      <c r="G249" t="s">
        <v>90</v>
      </c>
    </row>
    <row r="250" spans="1:7">
      <c r="A250">
        <v>6810.8068750000002</v>
      </c>
      <c r="B250">
        <v>1075.9911598238075</v>
      </c>
      <c r="C250">
        <v>9</v>
      </c>
      <c r="D250" t="s">
        <v>18</v>
      </c>
      <c r="E250">
        <v>1</v>
      </c>
      <c r="F250" t="s">
        <v>78</v>
      </c>
      <c r="G250" t="s">
        <v>90</v>
      </c>
    </row>
    <row r="251" spans="1:7">
      <c r="A251">
        <v>6942.4211111111108</v>
      </c>
      <c r="B251">
        <v>1093.1791912351871</v>
      </c>
      <c r="C251">
        <v>10</v>
      </c>
      <c r="D251" t="s">
        <v>18</v>
      </c>
      <c r="E251">
        <v>1</v>
      </c>
      <c r="F251" t="s">
        <v>78</v>
      </c>
      <c r="G251" t="s">
        <v>90</v>
      </c>
    </row>
    <row r="252" spans="1:7">
      <c r="A252">
        <v>8042.4824999999992</v>
      </c>
      <c r="B252">
        <v>1225.8443359690636</v>
      </c>
      <c r="C252">
        <v>11</v>
      </c>
      <c r="D252" t="s">
        <v>18</v>
      </c>
      <c r="E252">
        <v>1</v>
      </c>
      <c r="F252" t="s">
        <v>78</v>
      </c>
      <c r="G252" t="s">
        <v>90</v>
      </c>
    </row>
    <row r="253" spans="1:7">
      <c r="A253">
        <v>7691.768</v>
      </c>
      <c r="B253">
        <v>1219.3802503258194</v>
      </c>
      <c r="C253">
        <v>12</v>
      </c>
      <c r="D253" t="s">
        <v>18</v>
      </c>
      <c r="E253">
        <v>1</v>
      </c>
      <c r="F253" t="s">
        <v>78</v>
      </c>
      <c r="G253" t="s">
        <v>90</v>
      </c>
    </row>
    <row r="254" spans="1:7">
      <c r="A254">
        <v>1927.5</v>
      </c>
      <c r="B254">
        <v>476.56164344185316</v>
      </c>
      <c r="C254">
        <v>1</v>
      </c>
      <c r="D254" t="s">
        <v>60</v>
      </c>
      <c r="E254">
        <v>2</v>
      </c>
      <c r="F254" t="s">
        <v>78</v>
      </c>
      <c r="G254" t="s">
        <v>90</v>
      </c>
    </row>
    <row r="255" spans="1:7">
      <c r="A255">
        <v>3905.75</v>
      </c>
      <c r="B255">
        <v>822.30423202121483</v>
      </c>
      <c r="C255">
        <v>2</v>
      </c>
      <c r="D255" t="s">
        <v>60</v>
      </c>
      <c r="E255">
        <v>2</v>
      </c>
      <c r="F255" t="s">
        <v>78</v>
      </c>
      <c r="G255" t="s">
        <v>90</v>
      </c>
    </row>
    <row r="256" spans="1:7">
      <c r="A256">
        <v>1105.75</v>
      </c>
      <c r="B256">
        <v>301.1437917894595</v>
      </c>
      <c r="C256">
        <v>3</v>
      </c>
      <c r="D256" t="s">
        <v>60</v>
      </c>
      <c r="E256">
        <v>2</v>
      </c>
      <c r="F256" t="s">
        <v>78</v>
      </c>
      <c r="G256" t="s">
        <v>90</v>
      </c>
    </row>
    <row r="257" spans="1:7">
      <c r="A257">
        <v>1613.75</v>
      </c>
      <c r="B257">
        <v>256.44541329491545</v>
      </c>
      <c r="C257">
        <v>4</v>
      </c>
      <c r="D257" t="s">
        <v>60</v>
      </c>
      <c r="E257">
        <v>2</v>
      </c>
      <c r="F257" t="s">
        <v>78</v>
      </c>
      <c r="G257" t="s">
        <v>90</v>
      </c>
    </row>
    <row r="258" spans="1:7">
      <c r="A258">
        <v>1550.25</v>
      </c>
      <c r="B258">
        <v>181.23718345490437</v>
      </c>
      <c r="C258">
        <v>5</v>
      </c>
      <c r="D258" t="s">
        <v>60</v>
      </c>
      <c r="E258">
        <v>2</v>
      </c>
      <c r="F258" t="s">
        <v>78</v>
      </c>
      <c r="G258" t="s">
        <v>90</v>
      </c>
    </row>
    <row r="259" spans="1:7">
      <c r="A259">
        <v>2589.5</v>
      </c>
      <c r="B259">
        <v>325.27373087908592</v>
      </c>
      <c r="C259">
        <v>6</v>
      </c>
      <c r="D259" t="s">
        <v>60</v>
      </c>
      <c r="E259">
        <v>2</v>
      </c>
      <c r="F259" t="s">
        <v>78</v>
      </c>
      <c r="G259" t="s">
        <v>90</v>
      </c>
    </row>
    <row r="260" spans="1:7">
      <c r="A260">
        <v>3644.5</v>
      </c>
      <c r="B260">
        <v>731.27764904993512</v>
      </c>
      <c r="C260">
        <v>7</v>
      </c>
      <c r="D260" t="s">
        <v>60</v>
      </c>
      <c r="E260">
        <v>2</v>
      </c>
      <c r="F260" t="s">
        <v>78</v>
      </c>
      <c r="G260" t="s">
        <v>90</v>
      </c>
    </row>
    <row r="261" spans="1:7">
      <c r="A261">
        <v>4615.25</v>
      </c>
      <c r="B261">
        <v>382.20184457953627</v>
      </c>
      <c r="C261">
        <v>8</v>
      </c>
      <c r="D261" t="s">
        <v>60</v>
      </c>
      <c r="E261">
        <v>2</v>
      </c>
      <c r="F261" t="s">
        <v>78</v>
      </c>
      <c r="G261" t="s">
        <v>90</v>
      </c>
    </row>
    <row r="262" spans="1:7">
      <c r="A262">
        <v>3400.3333333333335</v>
      </c>
      <c r="B262">
        <v>754.38871500926632</v>
      </c>
      <c r="C262">
        <v>9</v>
      </c>
      <c r="D262" t="s">
        <v>60</v>
      </c>
      <c r="E262">
        <v>2</v>
      </c>
      <c r="F262" t="s">
        <v>78</v>
      </c>
      <c r="G262" t="s">
        <v>90</v>
      </c>
    </row>
    <row r="263" spans="1:7">
      <c r="A263">
        <v>2756.2</v>
      </c>
      <c r="B263">
        <v>853.06810982476611</v>
      </c>
      <c r="C263">
        <v>10</v>
      </c>
      <c r="D263" t="s">
        <v>60</v>
      </c>
      <c r="E263">
        <v>2</v>
      </c>
      <c r="F263" t="s">
        <v>78</v>
      </c>
      <c r="G263" t="s">
        <v>90</v>
      </c>
    </row>
    <row r="264" spans="1:7">
      <c r="A264">
        <v>3227.5</v>
      </c>
      <c r="B264">
        <v>1369.6118793293231</v>
      </c>
      <c r="C264">
        <v>11</v>
      </c>
      <c r="D264" t="s">
        <v>60</v>
      </c>
      <c r="E264">
        <v>2</v>
      </c>
      <c r="F264" t="s">
        <v>78</v>
      </c>
      <c r="G264" t="s">
        <v>90</v>
      </c>
    </row>
    <row r="265" spans="1:7">
      <c r="A265">
        <v>2990.4</v>
      </c>
      <c r="B265">
        <v>1303.0409817039526</v>
      </c>
      <c r="C265">
        <v>12</v>
      </c>
      <c r="D265" t="s">
        <v>60</v>
      </c>
      <c r="E265">
        <v>2</v>
      </c>
      <c r="F265" t="s">
        <v>78</v>
      </c>
      <c r="G265" t="s">
        <v>90</v>
      </c>
    </row>
    <row r="266" spans="1:7">
      <c r="A266">
        <v>2114</v>
      </c>
      <c r="B266">
        <v>436.4512736671922</v>
      </c>
      <c r="C266">
        <v>1</v>
      </c>
      <c r="D266" t="s">
        <v>19</v>
      </c>
      <c r="E266">
        <v>1</v>
      </c>
      <c r="F266" t="s">
        <v>79</v>
      </c>
      <c r="G266" t="s">
        <v>90</v>
      </c>
    </row>
    <row r="267" spans="1:7">
      <c r="A267">
        <v>4372.8571428571431</v>
      </c>
      <c r="B267">
        <v>919.08114051869313</v>
      </c>
      <c r="C267">
        <v>2</v>
      </c>
      <c r="D267" t="s">
        <v>19</v>
      </c>
      <c r="E267">
        <v>1</v>
      </c>
      <c r="F267" t="s">
        <v>79</v>
      </c>
      <c r="G267" t="s">
        <v>90</v>
      </c>
    </row>
    <row r="268" spans="1:7">
      <c r="A268">
        <v>1395.75</v>
      </c>
      <c r="B268">
        <v>95.321823314496029</v>
      </c>
      <c r="C268">
        <v>3</v>
      </c>
      <c r="D268" t="s">
        <v>19</v>
      </c>
      <c r="E268">
        <v>1</v>
      </c>
      <c r="F268" t="s">
        <v>79</v>
      </c>
      <c r="G268" t="s">
        <v>90</v>
      </c>
    </row>
    <row r="269" spans="1:7">
      <c r="A269">
        <v>1727.4285714285713</v>
      </c>
      <c r="B269">
        <v>415.85568696478362</v>
      </c>
      <c r="C269">
        <v>4</v>
      </c>
      <c r="D269" t="s">
        <v>19</v>
      </c>
      <c r="E269">
        <v>1</v>
      </c>
      <c r="F269" t="s">
        <v>79</v>
      </c>
      <c r="G269" t="s">
        <v>90</v>
      </c>
    </row>
    <row r="270" spans="1:7">
      <c r="A270">
        <v>1533.875</v>
      </c>
      <c r="B270">
        <v>321.23975803573433</v>
      </c>
      <c r="C270">
        <v>5</v>
      </c>
      <c r="D270" t="s">
        <v>19</v>
      </c>
      <c r="E270">
        <v>1</v>
      </c>
      <c r="F270" t="s">
        <v>79</v>
      </c>
      <c r="G270" t="s">
        <v>90</v>
      </c>
    </row>
    <row r="271" spans="1:7">
      <c r="A271">
        <v>1920.4666666666667</v>
      </c>
      <c r="B271">
        <v>552.51824361174681</v>
      </c>
      <c r="C271">
        <v>6</v>
      </c>
      <c r="D271" t="s">
        <v>19</v>
      </c>
      <c r="E271">
        <v>1</v>
      </c>
      <c r="F271" t="s">
        <v>79</v>
      </c>
      <c r="G271" t="s">
        <v>90</v>
      </c>
    </row>
    <row r="272" spans="1:7">
      <c r="A272">
        <v>3250.3571428571427</v>
      </c>
      <c r="B272">
        <v>438.2639891387646</v>
      </c>
      <c r="C272">
        <v>7</v>
      </c>
      <c r="D272" t="s">
        <v>19</v>
      </c>
      <c r="E272">
        <v>1</v>
      </c>
      <c r="F272" t="s">
        <v>79</v>
      </c>
      <c r="G272" t="s">
        <v>90</v>
      </c>
    </row>
    <row r="273" spans="1:7">
      <c r="A273">
        <v>3386.5</v>
      </c>
      <c r="B273">
        <v>520.44011095505414</v>
      </c>
      <c r="C273">
        <v>8</v>
      </c>
      <c r="D273" t="s">
        <v>19</v>
      </c>
      <c r="E273">
        <v>1</v>
      </c>
      <c r="F273" t="s">
        <v>79</v>
      </c>
      <c r="G273" t="s">
        <v>90</v>
      </c>
    </row>
    <row r="274" spans="1:7">
      <c r="A274">
        <v>2924.3529411764707</v>
      </c>
      <c r="B274">
        <v>614.10147178382442</v>
      </c>
      <c r="C274">
        <v>9</v>
      </c>
      <c r="D274" t="s">
        <v>19</v>
      </c>
      <c r="E274">
        <v>1</v>
      </c>
      <c r="F274" t="s">
        <v>79</v>
      </c>
      <c r="G274" t="s">
        <v>90</v>
      </c>
    </row>
    <row r="275" spans="1:7">
      <c r="A275">
        <v>2179.181818181818</v>
      </c>
      <c r="B275">
        <v>509.24685923073037</v>
      </c>
      <c r="C275">
        <v>10</v>
      </c>
      <c r="D275" t="s">
        <v>19</v>
      </c>
      <c r="E275">
        <v>1</v>
      </c>
      <c r="F275" t="s">
        <v>79</v>
      </c>
      <c r="G275" t="s">
        <v>90</v>
      </c>
    </row>
    <row r="276" spans="1:7">
      <c r="A276">
        <v>1165.7</v>
      </c>
      <c r="B276">
        <v>439.29439635245365</v>
      </c>
      <c r="C276">
        <v>11</v>
      </c>
      <c r="D276" t="s">
        <v>19</v>
      </c>
      <c r="E276">
        <v>1</v>
      </c>
      <c r="F276" t="s">
        <v>79</v>
      </c>
      <c r="G276" t="s">
        <v>90</v>
      </c>
    </row>
    <row r="277" spans="1:7">
      <c r="A277">
        <v>874.875</v>
      </c>
      <c r="B277">
        <v>152.83271667321199</v>
      </c>
      <c r="C277">
        <v>12</v>
      </c>
      <c r="D277" t="s">
        <v>19</v>
      </c>
      <c r="E277">
        <v>1</v>
      </c>
      <c r="F277" t="s">
        <v>79</v>
      </c>
      <c r="G277" t="s">
        <v>90</v>
      </c>
    </row>
    <row r="278" spans="1:7">
      <c r="A278">
        <v>2347.5447999999997</v>
      </c>
      <c r="B278">
        <v>498.58066703463498</v>
      </c>
      <c r="C278">
        <v>1</v>
      </c>
      <c r="D278" t="s">
        <v>18</v>
      </c>
      <c r="E278">
        <v>1</v>
      </c>
      <c r="F278" t="s">
        <v>79</v>
      </c>
      <c r="G278" t="s">
        <v>90</v>
      </c>
    </row>
    <row r="279" spans="1:7">
      <c r="A279">
        <v>3887.8091250000002</v>
      </c>
      <c r="B279">
        <v>553.18958619199088</v>
      </c>
      <c r="C279">
        <v>2</v>
      </c>
      <c r="D279" t="s">
        <v>18</v>
      </c>
      <c r="E279">
        <v>1</v>
      </c>
      <c r="F279" t="s">
        <v>79</v>
      </c>
      <c r="G279" t="s">
        <v>90</v>
      </c>
    </row>
    <row r="280" spans="1:7">
      <c r="A280">
        <v>1980.1758000000002</v>
      </c>
      <c r="B280">
        <v>296.6028895791444</v>
      </c>
      <c r="C280">
        <v>3</v>
      </c>
      <c r="D280" t="s">
        <v>18</v>
      </c>
      <c r="E280">
        <v>1</v>
      </c>
      <c r="F280" t="s">
        <v>79</v>
      </c>
      <c r="G280" t="s">
        <v>90</v>
      </c>
    </row>
    <row r="281" spans="1:7">
      <c r="A281">
        <v>1986.1468</v>
      </c>
      <c r="B281">
        <v>362.16999408799597</v>
      </c>
      <c r="C281">
        <v>4</v>
      </c>
      <c r="D281" t="s">
        <v>18</v>
      </c>
      <c r="E281">
        <v>1</v>
      </c>
      <c r="F281" t="s">
        <v>79</v>
      </c>
      <c r="G281" t="s">
        <v>90</v>
      </c>
    </row>
    <row r="282" spans="1:7">
      <c r="A282">
        <v>2027.5009999999997</v>
      </c>
      <c r="B282">
        <v>378.52572003233831</v>
      </c>
      <c r="C282">
        <v>5</v>
      </c>
      <c r="D282" t="s">
        <v>18</v>
      </c>
      <c r="E282">
        <v>1</v>
      </c>
      <c r="F282" t="s">
        <v>79</v>
      </c>
      <c r="G282" t="s">
        <v>90</v>
      </c>
    </row>
    <row r="283" spans="1:7">
      <c r="A283">
        <v>4761.1193999999996</v>
      </c>
      <c r="B283">
        <v>1236.8864298163376</v>
      </c>
      <c r="C283">
        <v>6</v>
      </c>
      <c r="D283" t="s">
        <v>18</v>
      </c>
      <c r="E283">
        <v>1</v>
      </c>
      <c r="F283" t="s">
        <v>79</v>
      </c>
      <c r="G283" t="s">
        <v>90</v>
      </c>
    </row>
    <row r="284" spans="1:7">
      <c r="A284">
        <v>6324.5255714285722</v>
      </c>
      <c r="B284">
        <v>1089.2759958591464</v>
      </c>
      <c r="C284">
        <v>7</v>
      </c>
      <c r="D284" t="s">
        <v>18</v>
      </c>
      <c r="E284">
        <v>1</v>
      </c>
      <c r="F284" t="s">
        <v>79</v>
      </c>
      <c r="G284" t="s">
        <v>90</v>
      </c>
    </row>
    <row r="285" spans="1:7">
      <c r="A285">
        <v>7049.9962857142864</v>
      </c>
      <c r="B285">
        <v>629.48174595766091</v>
      </c>
      <c r="C285">
        <v>8</v>
      </c>
      <c r="D285" t="s">
        <v>18</v>
      </c>
      <c r="E285">
        <v>1</v>
      </c>
      <c r="F285" t="s">
        <v>79</v>
      </c>
      <c r="G285" t="s">
        <v>90</v>
      </c>
    </row>
    <row r="286" spans="1:7">
      <c r="A286">
        <v>9437.0668571428578</v>
      </c>
      <c r="B286">
        <v>678.50249029497058</v>
      </c>
      <c r="C286">
        <v>9</v>
      </c>
      <c r="D286" t="s">
        <v>18</v>
      </c>
      <c r="E286">
        <v>1</v>
      </c>
      <c r="F286" t="s">
        <v>79</v>
      </c>
      <c r="G286" t="s">
        <v>90</v>
      </c>
    </row>
    <row r="287" spans="1:7">
      <c r="A287">
        <v>10013.667428571429</v>
      </c>
      <c r="B287">
        <v>723.85700018715897</v>
      </c>
      <c r="C287">
        <v>10</v>
      </c>
      <c r="D287" t="s">
        <v>18</v>
      </c>
      <c r="E287">
        <v>1</v>
      </c>
      <c r="F287" t="s">
        <v>79</v>
      </c>
      <c r="G287" t="s">
        <v>90</v>
      </c>
    </row>
    <row r="288" spans="1:7">
      <c r="A288">
        <v>8887.9683999999997</v>
      </c>
      <c r="B288">
        <v>960.9850884802006</v>
      </c>
      <c r="C288">
        <v>11</v>
      </c>
      <c r="D288" t="s">
        <v>18</v>
      </c>
      <c r="E288">
        <v>1</v>
      </c>
      <c r="F288" t="s">
        <v>79</v>
      </c>
      <c r="G288" t="s">
        <v>90</v>
      </c>
    </row>
    <row r="289" spans="1:7">
      <c r="A289">
        <v>8916.4132499999996</v>
      </c>
      <c r="B289">
        <v>1622.0982662733236</v>
      </c>
      <c r="C289">
        <v>12</v>
      </c>
      <c r="D289" t="s">
        <v>18</v>
      </c>
      <c r="E289">
        <v>1</v>
      </c>
      <c r="F289" t="s">
        <v>79</v>
      </c>
      <c r="G289" t="s">
        <v>90</v>
      </c>
    </row>
    <row r="290" spans="1:7">
      <c r="A290">
        <v>1607.1666666666667</v>
      </c>
      <c r="B290">
        <v>247.43661569759416</v>
      </c>
      <c r="C290">
        <v>1</v>
      </c>
      <c r="D290" t="s">
        <v>19</v>
      </c>
      <c r="E290">
        <v>1</v>
      </c>
      <c r="F290" t="s">
        <v>82</v>
      </c>
      <c r="G290" t="s">
        <v>90</v>
      </c>
    </row>
    <row r="291" spans="1:7">
      <c r="A291">
        <v>3865.2142857142858</v>
      </c>
      <c r="B291">
        <v>632.71225426989906</v>
      </c>
      <c r="C291">
        <v>2</v>
      </c>
      <c r="D291" t="s">
        <v>19</v>
      </c>
      <c r="E291">
        <v>1</v>
      </c>
      <c r="F291" t="s">
        <v>82</v>
      </c>
      <c r="G291" t="s">
        <v>90</v>
      </c>
    </row>
    <row r="292" spans="1:7">
      <c r="A292">
        <v>1296.8571428571429</v>
      </c>
      <c r="B292">
        <v>212.40717860705507</v>
      </c>
      <c r="C292">
        <v>3</v>
      </c>
      <c r="D292" t="s">
        <v>19</v>
      </c>
      <c r="E292">
        <v>1</v>
      </c>
      <c r="F292" t="s">
        <v>82</v>
      </c>
      <c r="G292" t="s">
        <v>90</v>
      </c>
    </row>
    <row r="293" spans="1:7">
      <c r="A293">
        <v>1077.4285714285713</v>
      </c>
      <c r="B293">
        <v>318.02822576141324</v>
      </c>
      <c r="C293">
        <v>4</v>
      </c>
      <c r="D293" t="s">
        <v>19</v>
      </c>
      <c r="E293">
        <v>1</v>
      </c>
      <c r="F293" t="s">
        <v>82</v>
      </c>
      <c r="G293" t="s">
        <v>90</v>
      </c>
    </row>
    <row r="294" spans="1:7">
      <c r="A294">
        <v>896.4</v>
      </c>
      <c r="B294">
        <v>306.14782195679413</v>
      </c>
      <c r="C294">
        <v>5</v>
      </c>
      <c r="D294" t="s">
        <v>19</v>
      </c>
      <c r="E294">
        <v>1</v>
      </c>
      <c r="F294" t="s">
        <v>82</v>
      </c>
      <c r="G294" t="s">
        <v>90</v>
      </c>
    </row>
    <row r="295" spans="1:7">
      <c r="A295">
        <v>1391.7</v>
      </c>
      <c r="B295">
        <v>322.2862943960784</v>
      </c>
      <c r="C295">
        <v>6</v>
      </c>
      <c r="D295" t="s">
        <v>19</v>
      </c>
      <c r="E295">
        <v>1</v>
      </c>
      <c r="F295" t="s">
        <v>82</v>
      </c>
      <c r="G295" t="s">
        <v>90</v>
      </c>
    </row>
    <row r="296" spans="1:7">
      <c r="A296">
        <v>1897.3333333333333</v>
      </c>
      <c r="B296">
        <v>558.29795455527676</v>
      </c>
      <c r="C296">
        <v>7</v>
      </c>
      <c r="D296" t="s">
        <v>19</v>
      </c>
      <c r="E296">
        <v>1</v>
      </c>
      <c r="F296" t="s">
        <v>82</v>
      </c>
      <c r="G296" t="s">
        <v>90</v>
      </c>
    </row>
    <row r="297" spans="1:7">
      <c r="A297">
        <v>1199</v>
      </c>
      <c r="B297">
        <v>280.76458109953967</v>
      </c>
      <c r="C297">
        <v>8</v>
      </c>
      <c r="D297" t="s">
        <v>19</v>
      </c>
      <c r="E297">
        <v>1</v>
      </c>
      <c r="F297" t="s">
        <v>82</v>
      </c>
      <c r="G297" t="s">
        <v>90</v>
      </c>
    </row>
    <row r="298" spans="1:7">
      <c r="A298">
        <v>697.08333333333337</v>
      </c>
      <c r="B298">
        <v>288.90623151129961</v>
      </c>
      <c r="C298">
        <v>9</v>
      </c>
      <c r="D298" t="s">
        <v>19</v>
      </c>
      <c r="E298">
        <v>1</v>
      </c>
      <c r="F298" t="s">
        <v>82</v>
      </c>
      <c r="G298" t="s">
        <v>90</v>
      </c>
    </row>
    <row r="299" spans="1:7">
      <c r="A299">
        <v>212.85714285714286</v>
      </c>
      <c r="B299">
        <v>77.321364489986905</v>
      </c>
      <c r="C299">
        <v>10</v>
      </c>
      <c r="D299" t="s">
        <v>19</v>
      </c>
      <c r="E299">
        <v>1</v>
      </c>
      <c r="F299" t="s">
        <v>82</v>
      </c>
      <c r="G299" t="s">
        <v>90</v>
      </c>
    </row>
    <row r="300" spans="1:7">
      <c r="A300">
        <v>90.666666666666671</v>
      </c>
      <c r="B300">
        <v>18.22818330681001</v>
      </c>
      <c r="C300">
        <v>11</v>
      </c>
      <c r="D300" t="s">
        <v>19</v>
      </c>
      <c r="E300">
        <v>1</v>
      </c>
      <c r="F300" t="s">
        <v>82</v>
      </c>
      <c r="G300" t="s">
        <v>90</v>
      </c>
    </row>
    <row r="301" spans="1:7">
      <c r="A301">
        <v>128</v>
      </c>
      <c r="B301">
        <v>94.820883775674645</v>
      </c>
      <c r="C301">
        <v>12</v>
      </c>
      <c r="D301" t="s">
        <v>19</v>
      </c>
      <c r="E301">
        <v>1</v>
      </c>
      <c r="F301" t="s">
        <v>82</v>
      </c>
      <c r="G301" t="s">
        <v>90</v>
      </c>
    </row>
    <row r="302" spans="1:7">
      <c r="A302">
        <v>1757</v>
      </c>
      <c r="B302">
        <v>456.55722532887376</v>
      </c>
      <c r="C302">
        <v>1</v>
      </c>
      <c r="D302" t="s">
        <v>18</v>
      </c>
      <c r="E302">
        <v>1</v>
      </c>
      <c r="F302" t="s">
        <v>82</v>
      </c>
      <c r="G302" t="s">
        <v>90</v>
      </c>
    </row>
    <row r="303" spans="1:7">
      <c r="A303">
        <v>3454.25</v>
      </c>
      <c r="B303">
        <v>758.57738092902741</v>
      </c>
      <c r="C303">
        <v>2</v>
      </c>
      <c r="D303" t="s">
        <v>18</v>
      </c>
      <c r="E303">
        <v>1</v>
      </c>
      <c r="F303" t="s">
        <v>82</v>
      </c>
      <c r="G303" t="s">
        <v>90</v>
      </c>
    </row>
    <row r="304" spans="1:7">
      <c r="A304">
        <v>1600.6</v>
      </c>
      <c r="B304">
        <v>329.45758452340993</v>
      </c>
      <c r="C304">
        <v>3</v>
      </c>
      <c r="D304" t="s">
        <v>18</v>
      </c>
      <c r="E304">
        <v>1</v>
      </c>
      <c r="F304" t="s">
        <v>82</v>
      </c>
      <c r="G304" t="s">
        <v>90</v>
      </c>
    </row>
    <row r="305" spans="1:7">
      <c r="A305">
        <v>1866</v>
      </c>
      <c r="B305">
        <v>264.53166162106191</v>
      </c>
      <c r="C305">
        <v>4</v>
      </c>
      <c r="D305" t="s">
        <v>18</v>
      </c>
      <c r="E305">
        <v>1</v>
      </c>
      <c r="F305" t="s">
        <v>82</v>
      </c>
      <c r="G305" t="s">
        <v>90</v>
      </c>
    </row>
    <row r="306" spans="1:7">
      <c r="A306">
        <v>1843.3333333333333</v>
      </c>
      <c r="B306">
        <v>312.4459953335936</v>
      </c>
      <c r="C306">
        <v>5</v>
      </c>
      <c r="D306" t="s">
        <v>18</v>
      </c>
      <c r="E306">
        <v>1</v>
      </c>
      <c r="F306" t="s">
        <v>82</v>
      </c>
      <c r="G306" t="s">
        <v>90</v>
      </c>
    </row>
    <row r="307" spans="1:7">
      <c r="A307">
        <v>2302.625</v>
      </c>
      <c r="B307">
        <v>416.3603993451552</v>
      </c>
      <c r="C307">
        <v>6</v>
      </c>
      <c r="D307" t="s">
        <v>18</v>
      </c>
      <c r="E307">
        <v>1</v>
      </c>
      <c r="F307" t="s">
        <v>82</v>
      </c>
      <c r="G307" t="s">
        <v>90</v>
      </c>
    </row>
    <row r="308" spans="1:7">
      <c r="A308">
        <v>3582.8333333333335</v>
      </c>
      <c r="B308">
        <v>414.81292972455145</v>
      </c>
      <c r="C308">
        <v>7</v>
      </c>
      <c r="D308" t="s">
        <v>18</v>
      </c>
      <c r="E308">
        <v>1</v>
      </c>
      <c r="F308" t="s">
        <v>82</v>
      </c>
      <c r="G308" t="s">
        <v>90</v>
      </c>
    </row>
    <row r="309" spans="1:7">
      <c r="A309">
        <v>3544.875</v>
      </c>
      <c r="B309">
        <v>483.09668878422849</v>
      </c>
      <c r="C309">
        <v>8</v>
      </c>
      <c r="D309" t="s">
        <v>18</v>
      </c>
      <c r="E309">
        <v>1</v>
      </c>
      <c r="F309" t="s">
        <v>82</v>
      </c>
      <c r="G309" t="s">
        <v>90</v>
      </c>
    </row>
    <row r="310" spans="1:7">
      <c r="A310">
        <v>4696.25</v>
      </c>
      <c r="B310">
        <v>2007.3028960938273</v>
      </c>
      <c r="C310">
        <v>9</v>
      </c>
      <c r="D310" t="s">
        <v>18</v>
      </c>
      <c r="E310">
        <v>1</v>
      </c>
      <c r="F310" t="s">
        <v>82</v>
      </c>
      <c r="G310" t="s">
        <v>90</v>
      </c>
    </row>
    <row r="311" spans="1:7">
      <c r="A311">
        <v>6007.25</v>
      </c>
      <c r="B311">
        <v>2016.025524805345</v>
      </c>
      <c r="C311">
        <v>10</v>
      </c>
      <c r="D311" t="s">
        <v>18</v>
      </c>
      <c r="E311">
        <v>1</v>
      </c>
      <c r="F311" t="s">
        <v>82</v>
      </c>
      <c r="G311" t="s">
        <v>90</v>
      </c>
    </row>
    <row r="312" spans="1:7">
      <c r="A312">
        <v>7797.5</v>
      </c>
      <c r="B312">
        <v>91.216774773064628</v>
      </c>
      <c r="C312">
        <v>11</v>
      </c>
      <c r="D312" t="s">
        <v>18</v>
      </c>
      <c r="E312">
        <v>1</v>
      </c>
      <c r="F312" t="s">
        <v>82</v>
      </c>
      <c r="G312" t="s">
        <v>90</v>
      </c>
    </row>
    <row r="313" spans="1:7">
      <c r="A313">
        <v>5508.5</v>
      </c>
      <c r="B313">
        <v>31.81980515339464</v>
      </c>
      <c r="C313">
        <v>12</v>
      </c>
      <c r="D313" t="s">
        <v>18</v>
      </c>
      <c r="E313">
        <v>1</v>
      </c>
      <c r="F313" t="s">
        <v>82</v>
      </c>
      <c r="G313" t="s">
        <v>90</v>
      </c>
    </row>
    <row r="314" spans="1:7">
      <c r="A314">
        <v>2120.3333333333335</v>
      </c>
      <c r="B314">
        <v>414.86594220302055</v>
      </c>
      <c r="C314">
        <v>1</v>
      </c>
      <c r="D314" t="s">
        <v>19</v>
      </c>
      <c r="E314">
        <v>1</v>
      </c>
      <c r="F314" t="s">
        <v>85</v>
      </c>
      <c r="G314" t="s">
        <v>90</v>
      </c>
    </row>
    <row r="315" spans="1:7">
      <c r="A315">
        <v>4021</v>
      </c>
      <c r="B315">
        <v>495.86691763012379</v>
      </c>
      <c r="C315">
        <v>2</v>
      </c>
      <c r="D315" t="s">
        <v>19</v>
      </c>
      <c r="E315">
        <v>1</v>
      </c>
      <c r="F315" t="s">
        <v>85</v>
      </c>
      <c r="G315" t="s">
        <v>90</v>
      </c>
    </row>
    <row r="316" spans="1:7">
      <c r="A316">
        <v>1487.2857142857142</v>
      </c>
      <c r="B316">
        <v>443.28986539498607</v>
      </c>
      <c r="C316">
        <v>3</v>
      </c>
      <c r="D316" t="s">
        <v>19</v>
      </c>
      <c r="E316">
        <v>1</v>
      </c>
      <c r="F316" t="s">
        <v>85</v>
      </c>
      <c r="G316" t="s">
        <v>90</v>
      </c>
    </row>
    <row r="317" spans="1:7">
      <c r="A317">
        <v>1136.5</v>
      </c>
      <c r="B317">
        <v>144.60155985020046</v>
      </c>
      <c r="C317">
        <v>4</v>
      </c>
      <c r="D317" t="s">
        <v>19</v>
      </c>
      <c r="E317">
        <v>1</v>
      </c>
      <c r="F317" t="s">
        <v>85</v>
      </c>
      <c r="G317" t="s">
        <v>90</v>
      </c>
    </row>
    <row r="318" spans="1:7">
      <c r="A318">
        <v>1126.3636363636363</v>
      </c>
      <c r="B318">
        <v>290.07008557494254</v>
      </c>
      <c r="C318">
        <v>5</v>
      </c>
      <c r="D318" t="s">
        <v>19</v>
      </c>
      <c r="E318">
        <v>1</v>
      </c>
      <c r="F318" t="s">
        <v>85</v>
      </c>
      <c r="G318" t="s">
        <v>90</v>
      </c>
    </row>
    <row r="319" spans="1:7">
      <c r="A319">
        <v>1509.7272727272727</v>
      </c>
      <c r="B319">
        <v>410.63489644916729</v>
      </c>
      <c r="C319">
        <v>6</v>
      </c>
      <c r="D319" t="s">
        <v>19</v>
      </c>
      <c r="E319">
        <v>1</v>
      </c>
      <c r="F319" t="s">
        <v>85</v>
      </c>
      <c r="G319" t="s">
        <v>90</v>
      </c>
    </row>
    <row r="320" spans="1:7">
      <c r="A320">
        <v>2236.294117647059</v>
      </c>
      <c r="B320">
        <v>469.75761897837822</v>
      </c>
      <c r="C320">
        <v>7</v>
      </c>
      <c r="D320" t="s">
        <v>19</v>
      </c>
      <c r="E320">
        <v>1</v>
      </c>
      <c r="F320" t="s">
        <v>85</v>
      </c>
      <c r="G320" t="s">
        <v>90</v>
      </c>
    </row>
    <row r="321" spans="1:7">
      <c r="A321">
        <v>2812.7857142857142</v>
      </c>
      <c r="B321">
        <v>410.67621132645371</v>
      </c>
      <c r="C321">
        <v>8</v>
      </c>
      <c r="D321" t="s">
        <v>19</v>
      </c>
      <c r="E321">
        <v>1</v>
      </c>
      <c r="F321" t="s">
        <v>85</v>
      </c>
      <c r="G321" t="s">
        <v>90</v>
      </c>
    </row>
    <row r="322" spans="1:7">
      <c r="A322">
        <v>1444.0714285714287</v>
      </c>
      <c r="B322">
        <v>485.10577185816902</v>
      </c>
      <c r="C322">
        <v>9</v>
      </c>
      <c r="D322" t="s">
        <v>19</v>
      </c>
      <c r="E322">
        <v>1</v>
      </c>
      <c r="F322" t="s">
        <v>85</v>
      </c>
      <c r="G322" t="s">
        <v>90</v>
      </c>
    </row>
    <row r="323" spans="1:7">
      <c r="A323">
        <v>767.46153846153845</v>
      </c>
      <c r="B323">
        <v>240.09359820169283</v>
      </c>
      <c r="C323">
        <v>10</v>
      </c>
      <c r="D323" t="s">
        <v>19</v>
      </c>
      <c r="E323">
        <v>1</v>
      </c>
      <c r="F323" t="s">
        <v>85</v>
      </c>
      <c r="G323" t="s">
        <v>90</v>
      </c>
    </row>
    <row r="324" spans="1:7">
      <c r="A324">
        <v>383.375</v>
      </c>
      <c r="B324">
        <v>55.79282467947187</v>
      </c>
      <c r="C324">
        <v>11</v>
      </c>
      <c r="D324" t="s">
        <v>19</v>
      </c>
      <c r="E324">
        <v>1</v>
      </c>
      <c r="F324" t="s">
        <v>85</v>
      </c>
      <c r="G324" t="s">
        <v>90</v>
      </c>
    </row>
    <row r="325" spans="1:7">
      <c r="A325">
        <v>418.2</v>
      </c>
      <c r="B325">
        <v>80.035617071401475</v>
      </c>
      <c r="C325">
        <v>12</v>
      </c>
      <c r="D325" t="s">
        <v>19</v>
      </c>
      <c r="E325">
        <v>1</v>
      </c>
      <c r="F325" t="s">
        <v>85</v>
      </c>
      <c r="G325" t="s">
        <v>90</v>
      </c>
    </row>
    <row r="326" spans="1:7">
      <c r="A326">
        <v>1802.2099999999998</v>
      </c>
      <c r="B326">
        <v>93.290445277102208</v>
      </c>
      <c r="C326">
        <v>1</v>
      </c>
      <c r="D326" t="s">
        <v>18</v>
      </c>
      <c r="E326">
        <v>1</v>
      </c>
      <c r="F326" t="s">
        <v>85</v>
      </c>
      <c r="G326" t="s">
        <v>90</v>
      </c>
    </row>
    <row r="327" spans="1:7">
      <c r="A327">
        <v>3934.9543333333331</v>
      </c>
      <c r="B327">
        <v>1039.554967241432</v>
      </c>
      <c r="C327">
        <v>2</v>
      </c>
      <c r="D327" t="s">
        <v>18</v>
      </c>
      <c r="E327">
        <v>1</v>
      </c>
      <c r="F327" t="s">
        <v>85</v>
      </c>
      <c r="G327" t="s">
        <v>90</v>
      </c>
    </row>
    <row r="328" spans="1:7">
      <c r="A328">
        <v>1364.0732500000001</v>
      </c>
      <c r="B328">
        <v>403.80694634967477</v>
      </c>
      <c r="C328">
        <v>3</v>
      </c>
      <c r="D328" t="s">
        <v>18</v>
      </c>
      <c r="E328">
        <v>1</v>
      </c>
      <c r="F328" t="s">
        <v>85</v>
      </c>
      <c r="G328" t="s">
        <v>90</v>
      </c>
    </row>
    <row r="329" spans="1:7">
      <c r="A329">
        <v>1822.5203999999999</v>
      </c>
      <c r="B329">
        <v>344.35600255085177</v>
      </c>
      <c r="C329">
        <v>4</v>
      </c>
      <c r="D329" t="s">
        <v>18</v>
      </c>
      <c r="E329">
        <v>1</v>
      </c>
      <c r="F329" t="s">
        <v>85</v>
      </c>
      <c r="G329" t="s">
        <v>90</v>
      </c>
    </row>
    <row r="330" spans="1:7">
      <c r="A330">
        <v>2082.0631428571428</v>
      </c>
      <c r="B330">
        <v>335.44650943502762</v>
      </c>
      <c r="C330">
        <v>5</v>
      </c>
      <c r="D330" t="s">
        <v>18</v>
      </c>
      <c r="E330">
        <v>1</v>
      </c>
      <c r="F330" t="s">
        <v>85</v>
      </c>
      <c r="G330" t="s">
        <v>90</v>
      </c>
    </row>
    <row r="331" spans="1:7">
      <c r="A331">
        <v>2457.4668333333334</v>
      </c>
      <c r="B331">
        <v>367.50981662829867</v>
      </c>
      <c r="C331">
        <v>6</v>
      </c>
      <c r="D331" t="s">
        <v>18</v>
      </c>
      <c r="E331">
        <v>1</v>
      </c>
      <c r="F331" t="s">
        <v>85</v>
      </c>
      <c r="G331" t="s">
        <v>90</v>
      </c>
    </row>
    <row r="332" spans="1:7">
      <c r="A332">
        <v>3857.8892499999997</v>
      </c>
      <c r="B332">
        <v>926.05488932473895</v>
      </c>
      <c r="C332">
        <v>7</v>
      </c>
      <c r="D332" t="s">
        <v>18</v>
      </c>
      <c r="E332">
        <v>1</v>
      </c>
      <c r="F332" t="s">
        <v>85</v>
      </c>
      <c r="G332" t="s">
        <v>90</v>
      </c>
    </row>
    <row r="333" spans="1:7">
      <c r="A333">
        <v>4357.48225</v>
      </c>
      <c r="B333">
        <v>319.92900522707129</v>
      </c>
      <c r="C333">
        <v>8</v>
      </c>
      <c r="D333" t="s">
        <v>18</v>
      </c>
      <c r="E333">
        <v>1</v>
      </c>
      <c r="F333" t="s">
        <v>85</v>
      </c>
      <c r="G333" t="s">
        <v>90</v>
      </c>
    </row>
    <row r="334" spans="1:7">
      <c r="A334">
        <v>5405.621000000001</v>
      </c>
      <c r="B334">
        <v>1216.7649189220224</v>
      </c>
      <c r="C334">
        <v>9</v>
      </c>
      <c r="D334" t="s">
        <v>18</v>
      </c>
      <c r="E334">
        <v>1</v>
      </c>
      <c r="F334" t="s">
        <v>85</v>
      </c>
      <c r="G334" t="s">
        <v>90</v>
      </c>
    </row>
    <row r="335" spans="1:7">
      <c r="A335">
        <v>4357.6175999999996</v>
      </c>
      <c r="B335">
        <v>648.48880898077721</v>
      </c>
      <c r="C335">
        <v>10</v>
      </c>
      <c r="D335" t="s">
        <v>18</v>
      </c>
      <c r="E335">
        <v>1</v>
      </c>
      <c r="F335" t="s">
        <v>85</v>
      </c>
      <c r="G335" t="s">
        <v>90</v>
      </c>
    </row>
    <row r="336" spans="1:7">
      <c r="A336">
        <v>3166.5245</v>
      </c>
      <c r="B336">
        <v>1081.6562934335936</v>
      </c>
      <c r="C336">
        <v>11</v>
      </c>
      <c r="D336" t="s">
        <v>18</v>
      </c>
      <c r="E336">
        <v>1</v>
      </c>
      <c r="F336" t="s">
        <v>85</v>
      </c>
      <c r="G336" t="s">
        <v>90</v>
      </c>
    </row>
    <row r="337" spans="1:7">
      <c r="A337">
        <v>2709.7639999999997</v>
      </c>
      <c r="B337">
        <v>898.00517606581673</v>
      </c>
      <c r="C337">
        <v>12</v>
      </c>
      <c r="D337" t="s">
        <v>18</v>
      </c>
      <c r="E337">
        <v>1</v>
      </c>
      <c r="F337" t="s">
        <v>85</v>
      </c>
      <c r="G337" t="s">
        <v>90</v>
      </c>
    </row>
    <row r="338" spans="1:7">
      <c r="A338">
        <v>1610.5</v>
      </c>
      <c r="B338">
        <v>311.55875391787202</v>
      </c>
      <c r="C338">
        <v>1</v>
      </c>
      <c r="D338" t="s">
        <v>19</v>
      </c>
      <c r="E338">
        <v>1</v>
      </c>
      <c r="F338" t="s">
        <v>86</v>
      </c>
      <c r="G338" t="s">
        <v>92</v>
      </c>
    </row>
    <row r="339" spans="1:7">
      <c r="A339">
        <v>3118.3333333333335</v>
      </c>
      <c r="B339">
        <v>467.31902022779599</v>
      </c>
      <c r="C339">
        <v>2</v>
      </c>
      <c r="D339" t="s">
        <v>19</v>
      </c>
      <c r="E339">
        <v>1</v>
      </c>
      <c r="F339" t="s">
        <v>86</v>
      </c>
      <c r="G339" t="s">
        <v>92</v>
      </c>
    </row>
    <row r="340" spans="1:7">
      <c r="A340">
        <v>1177.4285714285713</v>
      </c>
      <c r="B340">
        <v>202.29998940752756</v>
      </c>
      <c r="C340">
        <v>3</v>
      </c>
      <c r="D340" t="s">
        <v>19</v>
      </c>
      <c r="E340">
        <v>1</v>
      </c>
      <c r="F340" t="s">
        <v>86</v>
      </c>
      <c r="G340" t="s">
        <v>92</v>
      </c>
    </row>
    <row r="341" spans="1:7">
      <c r="A341">
        <v>892.44444444444446</v>
      </c>
      <c r="B341">
        <v>183.41081695957234</v>
      </c>
      <c r="C341">
        <v>4</v>
      </c>
      <c r="D341" t="s">
        <v>19</v>
      </c>
      <c r="E341">
        <v>1</v>
      </c>
      <c r="F341" t="s">
        <v>86</v>
      </c>
      <c r="G341" t="s">
        <v>92</v>
      </c>
    </row>
    <row r="342" spans="1:7">
      <c r="A342">
        <v>1220.1666666666667</v>
      </c>
      <c r="B342">
        <v>222.42540458783191</v>
      </c>
      <c r="C342">
        <v>5</v>
      </c>
      <c r="D342" t="s">
        <v>19</v>
      </c>
      <c r="E342">
        <v>1</v>
      </c>
      <c r="F342" t="s">
        <v>86</v>
      </c>
      <c r="G342" t="s">
        <v>92</v>
      </c>
    </row>
    <row r="343" spans="1:7">
      <c r="A343">
        <v>1613.7857142857142</v>
      </c>
      <c r="B343">
        <v>422.39376062033523</v>
      </c>
      <c r="C343">
        <v>6</v>
      </c>
      <c r="D343" t="s">
        <v>19</v>
      </c>
      <c r="E343">
        <v>1</v>
      </c>
      <c r="F343" t="s">
        <v>86</v>
      </c>
      <c r="G343" t="s">
        <v>92</v>
      </c>
    </row>
    <row r="344" spans="1:7">
      <c r="A344">
        <v>1880.2</v>
      </c>
      <c r="B344">
        <v>244.7900687891115</v>
      </c>
      <c r="C344">
        <v>7</v>
      </c>
      <c r="D344" t="s">
        <v>19</v>
      </c>
      <c r="E344">
        <v>1</v>
      </c>
      <c r="F344" t="s">
        <v>86</v>
      </c>
      <c r="G344" t="s">
        <v>92</v>
      </c>
    </row>
    <row r="345" spans="1:7">
      <c r="A345">
        <v>2232.7142857142858</v>
      </c>
      <c r="B345">
        <v>390.46923026048967</v>
      </c>
      <c r="C345">
        <v>8</v>
      </c>
      <c r="D345" t="s">
        <v>19</v>
      </c>
      <c r="E345">
        <v>1</v>
      </c>
      <c r="F345" t="s">
        <v>86</v>
      </c>
      <c r="G345" t="s">
        <v>92</v>
      </c>
    </row>
    <row r="346" spans="1:7">
      <c r="A346">
        <v>1206.4285714285713</v>
      </c>
      <c r="B346">
        <v>333.06772568069385</v>
      </c>
      <c r="C346">
        <v>9</v>
      </c>
      <c r="D346" t="s">
        <v>19</v>
      </c>
      <c r="E346">
        <v>1</v>
      </c>
      <c r="F346" t="s">
        <v>86</v>
      </c>
      <c r="G346" t="s">
        <v>92</v>
      </c>
    </row>
    <row r="347" spans="1:7">
      <c r="A347">
        <v>582</v>
      </c>
      <c r="B347">
        <v>143.01460229846543</v>
      </c>
      <c r="C347">
        <v>10</v>
      </c>
      <c r="D347" t="s">
        <v>19</v>
      </c>
      <c r="E347">
        <v>1</v>
      </c>
      <c r="F347" t="s">
        <v>86</v>
      </c>
      <c r="G347" t="s">
        <v>92</v>
      </c>
    </row>
    <row r="348" spans="1:7">
      <c r="A348">
        <v>375.42857142857144</v>
      </c>
      <c r="B348">
        <v>157.80987308770023</v>
      </c>
      <c r="C348">
        <v>11</v>
      </c>
      <c r="D348" t="s">
        <v>19</v>
      </c>
      <c r="E348">
        <v>1</v>
      </c>
      <c r="F348" t="s">
        <v>86</v>
      </c>
      <c r="G348" t="s">
        <v>92</v>
      </c>
    </row>
    <row r="349" spans="1:7">
      <c r="A349">
        <v>221.44444444444446</v>
      </c>
      <c r="B349">
        <v>56.71664462728539</v>
      </c>
      <c r="C349">
        <v>12</v>
      </c>
      <c r="D349" t="s">
        <v>19</v>
      </c>
      <c r="E349">
        <v>1</v>
      </c>
      <c r="F349" t="s">
        <v>86</v>
      </c>
      <c r="G349" t="s">
        <v>92</v>
      </c>
    </row>
    <row r="350" spans="1:7">
      <c r="A350">
        <v>1447.4</v>
      </c>
      <c r="B350">
        <v>418.06674108328662</v>
      </c>
      <c r="C350">
        <v>1</v>
      </c>
      <c r="D350" t="s">
        <v>18</v>
      </c>
      <c r="E350">
        <v>1</v>
      </c>
      <c r="F350" t="s">
        <v>86</v>
      </c>
      <c r="G350" t="s">
        <v>92</v>
      </c>
    </row>
    <row r="351" spans="1:7">
      <c r="A351">
        <v>2259.4602500000005</v>
      </c>
      <c r="B351">
        <v>439.6636638833067</v>
      </c>
      <c r="C351">
        <v>2</v>
      </c>
      <c r="D351" t="s">
        <v>18</v>
      </c>
      <c r="E351">
        <v>1</v>
      </c>
      <c r="F351" t="s">
        <v>86</v>
      </c>
      <c r="G351" t="s">
        <v>92</v>
      </c>
    </row>
    <row r="352" spans="1:7">
      <c r="A352">
        <v>1172.7142857142858</v>
      </c>
      <c r="B352">
        <v>287.2883071560197</v>
      </c>
      <c r="C352">
        <v>3</v>
      </c>
      <c r="D352" t="s">
        <v>18</v>
      </c>
      <c r="E352">
        <v>1</v>
      </c>
      <c r="F352" t="s">
        <v>86</v>
      </c>
      <c r="G352" t="s">
        <v>92</v>
      </c>
    </row>
    <row r="353" spans="1:7">
      <c r="A353">
        <v>1162.3333333333333</v>
      </c>
      <c r="B353">
        <v>229.50381260449683</v>
      </c>
      <c r="C353">
        <v>4</v>
      </c>
      <c r="D353" t="s">
        <v>18</v>
      </c>
      <c r="E353">
        <v>1</v>
      </c>
      <c r="F353" t="s">
        <v>86</v>
      </c>
      <c r="G353" t="s">
        <v>92</v>
      </c>
    </row>
    <row r="354" spans="1:7">
      <c r="A354">
        <v>1732.4444444444443</v>
      </c>
      <c r="B354">
        <v>499.64039846451368</v>
      </c>
      <c r="C354">
        <v>5</v>
      </c>
      <c r="D354" t="s">
        <v>18</v>
      </c>
      <c r="E354">
        <v>1</v>
      </c>
      <c r="F354" t="s">
        <v>86</v>
      </c>
      <c r="G354" t="s">
        <v>92</v>
      </c>
    </row>
    <row r="355" spans="1:7">
      <c r="A355">
        <v>2224.8333333333335</v>
      </c>
      <c r="B355">
        <v>491.46253595001929</v>
      </c>
      <c r="C355">
        <v>6</v>
      </c>
      <c r="D355" t="s">
        <v>18</v>
      </c>
      <c r="E355">
        <v>1</v>
      </c>
      <c r="F355" t="s">
        <v>86</v>
      </c>
      <c r="G355" t="s">
        <v>92</v>
      </c>
    </row>
    <row r="356" spans="1:7">
      <c r="A356">
        <v>2786.8</v>
      </c>
      <c r="B356">
        <v>864.55636022181875</v>
      </c>
      <c r="C356">
        <v>7</v>
      </c>
      <c r="D356" t="s">
        <v>18</v>
      </c>
      <c r="E356">
        <v>1</v>
      </c>
      <c r="F356" t="s">
        <v>86</v>
      </c>
      <c r="G356" t="s">
        <v>92</v>
      </c>
    </row>
    <row r="357" spans="1:7">
      <c r="A357">
        <v>3545.75</v>
      </c>
      <c r="B357">
        <v>778.56933813611897</v>
      </c>
      <c r="C357">
        <v>8</v>
      </c>
      <c r="D357" t="s">
        <v>18</v>
      </c>
      <c r="E357">
        <v>1</v>
      </c>
      <c r="F357" t="s">
        <v>86</v>
      </c>
      <c r="G357" t="s">
        <v>92</v>
      </c>
    </row>
    <row r="358" spans="1:7">
      <c r="A358">
        <v>3796.4233571428567</v>
      </c>
      <c r="B358">
        <v>885.77539256523539</v>
      </c>
      <c r="C358">
        <v>9</v>
      </c>
      <c r="D358" t="s">
        <v>18</v>
      </c>
      <c r="E358">
        <v>1</v>
      </c>
      <c r="F358" t="s">
        <v>86</v>
      </c>
      <c r="G358" t="s">
        <v>92</v>
      </c>
    </row>
    <row r="359" spans="1:7">
      <c r="A359">
        <v>3524.8436666666662</v>
      </c>
      <c r="B359">
        <v>702.63919276989952</v>
      </c>
      <c r="C359">
        <v>10</v>
      </c>
      <c r="D359" t="s">
        <v>18</v>
      </c>
      <c r="E359">
        <v>1</v>
      </c>
      <c r="F359" t="s">
        <v>86</v>
      </c>
      <c r="G359" t="s">
        <v>92</v>
      </c>
    </row>
    <row r="360" spans="1:7">
      <c r="A360">
        <v>3145.24125</v>
      </c>
      <c r="B360">
        <v>288.57697332875193</v>
      </c>
      <c r="C360">
        <v>11</v>
      </c>
      <c r="D360" t="s">
        <v>18</v>
      </c>
      <c r="E360">
        <v>1</v>
      </c>
      <c r="F360" t="s">
        <v>86</v>
      </c>
      <c r="G360" t="s">
        <v>92</v>
      </c>
    </row>
    <row r="361" spans="1:7">
      <c r="A361">
        <v>4471.0309999999999</v>
      </c>
      <c r="B361">
        <v>545.45792836661576</v>
      </c>
      <c r="C361">
        <v>12</v>
      </c>
      <c r="D361" t="s">
        <v>18</v>
      </c>
      <c r="E361">
        <v>1</v>
      </c>
      <c r="F361" t="s">
        <v>86</v>
      </c>
      <c r="G361" t="s">
        <v>92</v>
      </c>
    </row>
    <row r="362" spans="1:7">
      <c r="A362">
        <v>1348</v>
      </c>
      <c r="B362">
        <v>209.9309410258526</v>
      </c>
      <c r="C362">
        <v>1</v>
      </c>
      <c r="D362" t="s">
        <v>19</v>
      </c>
      <c r="E362">
        <v>1</v>
      </c>
      <c r="F362" t="s">
        <v>87</v>
      </c>
      <c r="G362" t="s">
        <v>92</v>
      </c>
    </row>
    <row r="363" spans="1:7">
      <c r="A363">
        <v>3404.2</v>
      </c>
      <c r="B363">
        <v>1188.8001233737036</v>
      </c>
      <c r="C363">
        <v>2</v>
      </c>
      <c r="D363" t="s">
        <v>19</v>
      </c>
      <c r="E363">
        <v>1</v>
      </c>
      <c r="F363" t="s">
        <v>87</v>
      </c>
      <c r="G363" t="s">
        <v>92</v>
      </c>
    </row>
    <row r="364" spans="1:7">
      <c r="A364">
        <v>829.28571428571433</v>
      </c>
      <c r="B364">
        <v>128.4169177402444</v>
      </c>
      <c r="C364">
        <v>3</v>
      </c>
      <c r="D364" t="s">
        <v>19</v>
      </c>
      <c r="E364">
        <v>1</v>
      </c>
      <c r="F364" t="s">
        <v>87</v>
      </c>
      <c r="G364" t="s">
        <v>92</v>
      </c>
    </row>
    <row r="365" spans="1:7">
      <c r="A365">
        <v>757.55555555555554</v>
      </c>
      <c r="B365">
        <v>206.08439479440881</v>
      </c>
      <c r="C365">
        <v>4</v>
      </c>
      <c r="D365" t="s">
        <v>19</v>
      </c>
      <c r="E365">
        <v>1</v>
      </c>
      <c r="F365" t="s">
        <v>87</v>
      </c>
      <c r="G365" t="s">
        <v>92</v>
      </c>
    </row>
    <row r="366" spans="1:7">
      <c r="A366">
        <v>700.5</v>
      </c>
      <c r="B366">
        <v>269.80867706992342</v>
      </c>
      <c r="C366">
        <v>5</v>
      </c>
      <c r="D366" t="s">
        <v>19</v>
      </c>
      <c r="E366">
        <v>1</v>
      </c>
      <c r="F366" t="s">
        <v>87</v>
      </c>
      <c r="G366" t="s">
        <v>92</v>
      </c>
    </row>
    <row r="367" spans="1:7">
      <c r="A367">
        <v>921.77777777777783</v>
      </c>
      <c r="B367">
        <v>163.12554810465619</v>
      </c>
      <c r="C367">
        <v>6</v>
      </c>
      <c r="D367" t="s">
        <v>19</v>
      </c>
      <c r="E367">
        <v>1</v>
      </c>
      <c r="F367" t="s">
        <v>87</v>
      </c>
      <c r="G367" t="s">
        <v>92</v>
      </c>
    </row>
    <row r="368" spans="1:7">
      <c r="A368">
        <v>1835.5714285714287</v>
      </c>
      <c r="B368">
        <v>276.91506347786884</v>
      </c>
      <c r="C368">
        <v>7</v>
      </c>
      <c r="D368" t="s">
        <v>19</v>
      </c>
      <c r="E368">
        <v>1</v>
      </c>
      <c r="F368" t="s">
        <v>87</v>
      </c>
      <c r="G368" t="s">
        <v>92</v>
      </c>
    </row>
    <row r="369" spans="1:7">
      <c r="A369">
        <v>2031.9230769230769</v>
      </c>
      <c r="B369">
        <v>420.88348774501719</v>
      </c>
      <c r="C369">
        <v>8</v>
      </c>
      <c r="D369" t="s">
        <v>19</v>
      </c>
      <c r="E369">
        <v>1</v>
      </c>
      <c r="F369" t="s">
        <v>87</v>
      </c>
      <c r="G369" t="s">
        <v>92</v>
      </c>
    </row>
    <row r="370" spans="1:7">
      <c r="A370">
        <v>1082.2142857142858</v>
      </c>
      <c r="B370">
        <v>288.37186957960222</v>
      </c>
      <c r="C370">
        <v>9</v>
      </c>
      <c r="D370" t="s">
        <v>19</v>
      </c>
      <c r="E370">
        <v>1</v>
      </c>
      <c r="F370" t="s">
        <v>87</v>
      </c>
      <c r="G370" t="s">
        <v>92</v>
      </c>
    </row>
    <row r="371" spans="1:7">
      <c r="A371">
        <v>583.44444444444446</v>
      </c>
      <c r="B371">
        <v>175.51645547865542</v>
      </c>
      <c r="C371">
        <v>10</v>
      </c>
      <c r="D371" t="s">
        <v>19</v>
      </c>
      <c r="E371">
        <v>1</v>
      </c>
      <c r="F371" t="s">
        <v>87</v>
      </c>
      <c r="G371" t="s">
        <v>92</v>
      </c>
    </row>
    <row r="372" spans="1:7">
      <c r="A372">
        <v>734.6</v>
      </c>
      <c r="B372">
        <v>320.74849960677921</v>
      </c>
      <c r="C372">
        <v>11</v>
      </c>
      <c r="D372" t="s">
        <v>19</v>
      </c>
      <c r="E372">
        <v>1</v>
      </c>
      <c r="F372" t="s">
        <v>87</v>
      </c>
      <c r="G372" t="s">
        <v>92</v>
      </c>
    </row>
    <row r="373" spans="1:7">
      <c r="A373">
        <v>173.5</v>
      </c>
      <c r="B373">
        <v>157.33721746617994</v>
      </c>
      <c r="C373">
        <v>12</v>
      </c>
      <c r="D373" t="s">
        <v>19</v>
      </c>
      <c r="E373">
        <v>1</v>
      </c>
      <c r="F373" t="s">
        <v>87</v>
      </c>
      <c r="G373" t="s">
        <v>92</v>
      </c>
    </row>
    <row r="374" spans="1:7">
      <c r="A374">
        <v>1281.6307999999999</v>
      </c>
      <c r="B374">
        <v>270.4468067406234</v>
      </c>
      <c r="C374">
        <v>1</v>
      </c>
      <c r="D374" t="s">
        <v>18</v>
      </c>
      <c r="E374">
        <v>1</v>
      </c>
      <c r="F374" t="s">
        <v>87</v>
      </c>
      <c r="G374" t="s">
        <v>92</v>
      </c>
    </row>
    <row r="375" spans="1:7">
      <c r="A375">
        <v>2864.5969999999998</v>
      </c>
      <c r="B375">
        <v>411.85890445588461</v>
      </c>
      <c r="C375">
        <v>2</v>
      </c>
      <c r="D375" t="s">
        <v>18</v>
      </c>
      <c r="E375">
        <v>1</v>
      </c>
      <c r="F375" t="s">
        <v>87</v>
      </c>
      <c r="G375" t="s">
        <v>92</v>
      </c>
    </row>
    <row r="376" spans="1:7">
      <c r="A376">
        <v>1607.2151428571431</v>
      </c>
      <c r="B376">
        <v>194.24425414361352</v>
      </c>
      <c r="C376">
        <v>3</v>
      </c>
      <c r="D376" t="s">
        <v>18</v>
      </c>
      <c r="E376">
        <v>1</v>
      </c>
      <c r="F376" t="s">
        <v>87</v>
      </c>
      <c r="G376" t="s">
        <v>92</v>
      </c>
    </row>
    <row r="377" spans="1:7">
      <c r="A377">
        <v>1748.3682857142855</v>
      </c>
      <c r="B377">
        <v>227.03881000445367</v>
      </c>
      <c r="C377">
        <v>4</v>
      </c>
      <c r="D377" t="s">
        <v>18</v>
      </c>
      <c r="E377">
        <v>1</v>
      </c>
      <c r="F377" t="s">
        <v>87</v>
      </c>
      <c r="G377" t="s">
        <v>92</v>
      </c>
    </row>
    <row r="378" spans="1:7">
      <c r="A378">
        <v>1876.8609999999999</v>
      </c>
      <c r="B378">
        <v>547.7222142669583</v>
      </c>
      <c r="C378">
        <v>5</v>
      </c>
      <c r="D378" t="s">
        <v>18</v>
      </c>
      <c r="E378">
        <v>1</v>
      </c>
      <c r="F378" t="s">
        <v>87</v>
      </c>
      <c r="G378" t="s">
        <v>92</v>
      </c>
    </row>
    <row r="379" spans="1:7">
      <c r="A379">
        <v>3056.2553571428571</v>
      </c>
      <c r="B379">
        <v>697.93574344420688</v>
      </c>
      <c r="C379">
        <v>6</v>
      </c>
      <c r="D379" t="s">
        <v>18</v>
      </c>
      <c r="E379">
        <v>1</v>
      </c>
      <c r="F379" t="s">
        <v>87</v>
      </c>
      <c r="G379" t="s">
        <v>92</v>
      </c>
    </row>
    <row r="380" spans="1:7">
      <c r="A380">
        <v>3405.7412857142854</v>
      </c>
      <c r="B380">
        <v>766.25000082973781</v>
      </c>
      <c r="C380">
        <v>7</v>
      </c>
      <c r="D380" t="s">
        <v>18</v>
      </c>
      <c r="E380">
        <v>1</v>
      </c>
      <c r="F380" t="s">
        <v>87</v>
      </c>
      <c r="G380" t="s">
        <v>92</v>
      </c>
    </row>
    <row r="381" spans="1:7">
      <c r="A381">
        <v>5019.246538461538</v>
      </c>
      <c r="B381">
        <v>569.02798661220743</v>
      </c>
      <c r="C381">
        <v>8</v>
      </c>
      <c r="D381" t="s">
        <v>18</v>
      </c>
      <c r="E381">
        <v>1</v>
      </c>
      <c r="F381" t="s">
        <v>87</v>
      </c>
      <c r="G381" t="s">
        <v>92</v>
      </c>
    </row>
    <row r="382" spans="1:7">
      <c r="A382">
        <v>6984.4085714285702</v>
      </c>
      <c r="B382">
        <v>1542.5059055562708</v>
      </c>
      <c r="C382">
        <v>9</v>
      </c>
      <c r="D382" t="s">
        <v>18</v>
      </c>
      <c r="E382">
        <v>1</v>
      </c>
      <c r="F382" t="s">
        <v>87</v>
      </c>
      <c r="G382" t="s">
        <v>92</v>
      </c>
    </row>
    <row r="383" spans="1:7">
      <c r="A383">
        <v>7323.1286000000009</v>
      </c>
      <c r="B383">
        <v>684.13168249745627</v>
      </c>
      <c r="C383">
        <v>10</v>
      </c>
      <c r="D383" t="s">
        <v>18</v>
      </c>
      <c r="E383">
        <v>1</v>
      </c>
      <c r="F383" t="s">
        <v>87</v>
      </c>
      <c r="G383" t="s">
        <v>92</v>
      </c>
    </row>
    <row r="384" spans="1:7">
      <c r="A384">
        <v>5469.4685000000009</v>
      </c>
      <c r="B384">
        <v>717.27835361384439</v>
      </c>
      <c r="C384">
        <v>11</v>
      </c>
      <c r="D384" t="s">
        <v>18</v>
      </c>
      <c r="E384">
        <v>1</v>
      </c>
      <c r="F384" t="s">
        <v>87</v>
      </c>
      <c r="G384" t="s">
        <v>92</v>
      </c>
    </row>
    <row r="385" spans="1:7">
      <c r="A385">
        <v>5903.2332500000002</v>
      </c>
      <c r="B385">
        <v>764.95599108984993</v>
      </c>
      <c r="C385">
        <v>12</v>
      </c>
      <c r="D385" t="s">
        <v>18</v>
      </c>
      <c r="E385">
        <v>1</v>
      </c>
      <c r="F385" t="s">
        <v>87</v>
      </c>
      <c r="G385" t="s">
        <v>92</v>
      </c>
    </row>
    <row r="386" spans="1:7">
      <c r="A386">
        <v>2581.4</v>
      </c>
      <c r="B386">
        <v>876.74585827365036</v>
      </c>
      <c r="C386">
        <v>1</v>
      </c>
      <c r="D386" t="s">
        <v>19</v>
      </c>
      <c r="E386">
        <v>1</v>
      </c>
      <c r="F386" t="s">
        <v>88</v>
      </c>
      <c r="G386" t="s">
        <v>91</v>
      </c>
    </row>
    <row r="387" spans="1:7">
      <c r="A387">
        <v>4241.4444444444443</v>
      </c>
      <c r="B387">
        <v>2085.1741600590049</v>
      </c>
      <c r="C387">
        <v>2</v>
      </c>
      <c r="D387" t="s">
        <v>19</v>
      </c>
      <c r="E387">
        <v>1</v>
      </c>
      <c r="F387" t="s">
        <v>88</v>
      </c>
      <c r="G387" t="s">
        <v>91</v>
      </c>
    </row>
    <row r="388" spans="1:7">
      <c r="A388">
        <v>1329.8571428571429</v>
      </c>
      <c r="B388">
        <v>382.81432774102041</v>
      </c>
      <c r="C388">
        <v>3</v>
      </c>
      <c r="D388" t="s">
        <v>19</v>
      </c>
      <c r="E388">
        <v>1</v>
      </c>
      <c r="F388" t="s">
        <v>88</v>
      </c>
      <c r="G388" t="s">
        <v>91</v>
      </c>
    </row>
    <row r="389" spans="1:7">
      <c r="A389">
        <v>1515.2222222222222</v>
      </c>
      <c r="B389">
        <v>334.1499580195163</v>
      </c>
      <c r="C389">
        <v>4</v>
      </c>
      <c r="D389" t="s">
        <v>19</v>
      </c>
      <c r="E389">
        <v>1</v>
      </c>
      <c r="F389" t="s">
        <v>88</v>
      </c>
      <c r="G389" t="s">
        <v>91</v>
      </c>
    </row>
    <row r="390" spans="1:7">
      <c r="A390">
        <v>2380.3333333333335</v>
      </c>
      <c r="B390">
        <v>628.88512464519306</v>
      </c>
      <c r="C390">
        <v>5</v>
      </c>
      <c r="D390" t="s">
        <v>19</v>
      </c>
      <c r="E390">
        <v>1</v>
      </c>
      <c r="F390" t="s">
        <v>88</v>
      </c>
      <c r="G390" t="s">
        <v>91</v>
      </c>
    </row>
    <row r="391" spans="1:7">
      <c r="A391">
        <v>3867.4444444444443</v>
      </c>
      <c r="B391">
        <v>646.3518993379505</v>
      </c>
      <c r="C391">
        <v>6</v>
      </c>
      <c r="D391" t="s">
        <v>19</v>
      </c>
      <c r="E391">
        <v>1</v>
      </c>
      <c r="F391" t="s">
        <v>88</v>
      </c>
      <c r="G391" t="s">
        <v>91</v>
      </c>
    </row>
    <row r="392" spans="1:7">
      <c r="A392">
        <v>4766.333333333333</v>
      </c>
      <c r="B392">
        <v>975.27624291787197</v>
      </c>
      <c r="C392">
        <v>7</v>
      </c>
      <c r="D392" t="s">
        <v>19</v>
      </c>
      <c r="E392">
        <v>1</v>
      </c>
      <c r="F392" t="s">
        <v>88</v>
      </c>
      <c r="G392" t="s">
        <v>91</v>
      </c>
    </row>
    <row r="393" spans="1:7">
      <c r="A393">
        <v>6302.181818181818</v>
      </c>
      <c r="B393">
        <v>682.55487957845742</v>
      </c>
      <c r="C393">
        <v>8</v>
      </c>
      <c r="D393" t="s">
        <v>19</v>
      </c>
      <c r="E393">
        <v>1</v>
      </c>
      <c r="F393" t="s">
        <v>88</v>
      </c>
      <c r="G393" t="s">
        <v>91</v>
      </c>
    </row>
    <row r="394" spans="1:7">
      <c r="A394">
        <v>6222.8571428571431</v>
      </c>
      <c r="B394">
        <v>842.9758512046991</v>
      </c>
      <c r="C394">
        <v>9</v>
      </c>
      <c r="D394" t="s">
        <v>19</v>
      </c>
      <c r="E394">
        <v>1</v>
      </c>
      <c r="F394" t="s">
        <v>88</v>
      </c>
      <c r="G394" t="s">
        <v>91</v>
      </c>
    </row>
    <row r="395" spans="1:7">
      <c r="A395">
        <v>6026.333333333333</v>
      </c>
      <c r="B395">
        <v>1088.5700482743405</v>
      </c>
      <c r="C395">
        <v>10</v>
      </c>
      <c r="D395" t="s">
        <v>19</v>
      </c>
      <c r="E395">
        <v>1</v>
      </c>
      <c r="F395" t="s">
        <v>88</v>
      </c>
      <c r="G395" t="s">
        <v>91</v>
      </c>
    </row>
    <row r="396" spans="1:7">
      <c r="A396">
        <v>4214.1428571428569</v>
      </c>
      <c r="B396">
        <v>940.97775895987138</v>
      </c>
      <c r="C396">
        <v>11</v>
      </c>
      <c r="D396" t="s">
        <v>19</v>
      </c>
      <c r="E396">
        <v>1</v>
      </c>
      <c r="F396" t="s">
        <v>88</v>
      </c>
      <c r="G396" t="s">
        <v>91</v>
      </c>
    </row>
    <row r="397" spans="1:7">
      <c r="A397">
        <v>4363.2</v>
      </c>
      <c r="B397">
        <v>803.84432572482547</v>
      </c>
      <c r="C397">
        <v>12</v>
      </c>
      <c r="D397" t="s">
        <v>19</v>
      </c>
      <c r="E397">
        <v>1</v>
      </c>
      <c r="F397" t="s">
        <v>88</v>
      </c>
      <c r="G397" t="s">
        <v>91</v>
      </c>
    </row>
    <row r="398" spans="1:7">
      <c r="A398">
        <v>2135.8558000000003</v>
      </c>
      <c r="B398">
        <v>660.21854700598783</v>
      </c>
      <c r="C398">
        <v>1</v>
      </c>
      <c r="D398" t="s">
        <v>18</v>
      </c>
      <c r="E398">
        <v>1</v>
      </c>
      <c r="F398" t="s">
        <v>88</v>
      </c>
      <c r="G398" t="s">
        <v>91</v>
      </c>
    </row>
    <row r="399" spans="1:7">
      <c r="A399">
        <v>4455.9591666666665</v>
      </c>
      <c r="B399">
        <v>1415.6229518367411</v>
      </c>
      <c r="C399">
        <v>2</v>
      </c>
      <c r="D399" t="s">
        <v>18</v>
      </c>
      <c r="E399">
        <v>1</v>
      </c>
      <c r="F399" t="s">
        <v>88</v>
      </c>
      <c r="G399" t="s">
        <v>91</v>
      </c>
    </row>
    <row r="400" spans="1:7">
      <c r="A400">
        <v>1498.3854999999999</v>
      </c>
      <c r="B400">
        <v>272.70306424937718</v>
      </c>
      <c r="C400">
        <v>3</v>
      </c>
      <c r="D400" t="s">
        <v>18</v>
      </c>
      <c r="E400">
        <v>1</v>
      </c>
      <c r="F400" t="s">
        <v>88</v>
      </c>
      <c r="G400" t="s">
        <v>91</v>
      </c>
    </row>
    <row r="401" spans="1:7">
      <c r="A401">
        <v>1973.642142857143</v>
      </c>
      <c r="B401">
        <v>365.12141876113338</v>
      </c>
      <c r="C401">
        <v>4</v>
      </c>
      <c r="D401" t="s">
        <v>18</v>
      </c>
      <c r="E401">
        <v>1</v>
      </c>
      <c r="F401" t="s">
        <v>88</v>
      </c>
      <c r="G401" t="s">
        <v>91</v>
      </c>
    </row>
    <row r="402" spans="1:7">
      <c r="A402">
        <v>2420.8655000000003</v>
      </c>
      <c r="B402">
        <v>609.22770882117459</v>
      </c>
      <c r="C402">
        <v>5</v>
      </c>
      <c r="D402" t="s">
        <v>18</v>
      </c>
      <c r="E402">
        <v>1</v>
      </c>
      <c r="F402" t="s">
        <v>88</v>
      </c>
      <c r="G402" t="s">
        <v>91</v>
      </c>
    </row>
    <row r="403" spans="1:7">
      <c r="A403">
        <v>3329.2602500000003</v>
      </c>
      <c r="B403">
        <v>606.60559812856536</v>
      </c>
      <c r="C403">
        <v>6</v>
      </c>
      <c r="D403" t="s">
        <v>18</v>
      </c>
      <c r="E403">
        <v>1</v>
      </c>
      <c r="F403" t="s">
        <v>88</v>
      </c>
      <c r="G403" t="s">
        <v>91</v>
      </c>
    </row>
    <row r="404" spans="1:7">
      <c r="A404">
        <v>4606.5523333333331</v>
      </c>
      <c r="B404">
        <v>347.23960903723707</v>
      </c>
      <c r="C404">
        <v>7</v>
      </c>
      <c r="D404" t="s">
        <v>18</v>
      </c>
      <c r="E404">
        <v>1</v>
      </c>
      <c r="F404" t="s">
        <v>88</v>
      </c>
      <c r="G404" t="s">
        <v>91</v>
      </c>
    </row>
    <row r="405" spans="1:7">
      <c r="A405">
        <v>6408.6031666666649</v>
      </c>
      <c r="B405">
        <v>1171.6123123411501</v>
      </c>
      <c r="C405">
        <v>8</v>
      </c>
      <c r="D405" t="s">
        <v>18</v>
      </c>
      <c r="E405">
        <v>1</v>
      </c>
      <c r="F405" t="s">
        <v>88</v>
      </c>
      <c r="G405" t="s">
        <v>91</v>
      </c>
    </row>
    <row r="406" spans="1:7">
      <c r="A406">
        <v>6615.7858750000005</v>
      </c>
      <c r="B406">
        <v>1513.8116491869512</v>
      </c>
      <c r="C406">
        <v>9</v>
      </c>
      <c r="D406" t="s">
        <v>18</v>
      </c>
      <c r="E406">
        <v>1</v>
      </c>
      <c r="F406" t="s">
        <v>88</v>
      </c>
      <c r="G406" t="s">
        <v>91</v>
      </c>
    </row>
    <row r="407" spans="1:7">
      <c r="A407">
        <v>7001.9348000000009</v>
      </c>
      <c r="B407">
        <v>781.41582865443695</v>
      </c>
      <c r="C407">
        <v>10</v>
      </c>
      <c r="D407" t="s">
        <v>18</v>
      </c>
      <c r="E407">
        <v>1</v>
      </c>
      <c r="F407" t="s">
        <v>88</v>
      </c>
      <c r="G407" t="s">
        <v>91</v>
      </c>
    </row>
    <row r="408" spans="1:7">
      <c r="A408">
        <v>4925.6787999999997</v>
      </c>
      <c r="B408">
        <v>1250.3082868713986</v>
      </c>
      <c r="C408">
        <v>11</v>
      </c>
      <c r="D408" t="s">
        <v>18</v>
      </c>
      <c r="E408">
        <v>1</v>
      </c>
      <c r="F408" t="s">
        <v>88</v>
      </c>
      <c r="G408" t="s">
        <v>91</v>
      </c>
    </row>
    <row r="409" spans="1:7">
      <c r="A409">
        <v>4105.4068333333335</v>
      </c>
      <c r="B409">
        <v>1218.9738501542042</v>
      </c>
      <c r="C409">
        <v>12</v>
      </c>
      <c r="D409" t="s">
        <v>18</v>
      </c>
      <c r="E409">
        <v>1</v>
      </c>
      <c r="F409" t="s">
        <v>88</v>
      </c>
      <c r="G409" t="s">
        <v>91</v>
      </c>
    </row>
    <row r="410" spans="1:7">
      <c r="A410">
        <v>1511.5714285714287</v>
      </c>
      <c r="B410">
        <v>199.7313672101082</v>
      </c>
      <c r="C410">
        <v>1</v>
      </c>
      <c r="D410" t="s">
        <v>19</v>
      </c>
      <c r="E410">
        <v>1</v>
      </c>
      <c r="F410" t="s">
        <v>89</v>
      </c>
      <c r="G410" t="s">
        <v>91</v>
      </c>
    </row>
    <row r="411" spans="1:7">
      <c r="A411">
        <v>3240.4</v>
      </c>
      <c r="B411">
        <v>572.92477691229305</v>
      </c>
      <c r="C411">
        <v>2</v>
      </c>
      <c r="D411" t="s">
        <v>19</v>
      </c>
      <c r="E411">
        <v>1</v>
      </c>
      <c r="F411" t="s">
        <v>89</v>
      </c>
      <c r="G411" t="s">
        <v>91</v>
      </c>
    </row>
    <row r="412" spans="1:7">
      <c r="A412">
        <v>1103</v>
      </c>
      <c r="B412">
        <v>568.58772410244671</v>
      </c>
      <c r="C412">
        <v>3</v>
      </c>
      <c r="D412" t="s">
        <v>19</v>
      </c>
      <c r="E412">
        <v>1</v>
      </c>
      <c r="F412" t="s">
        <v>89</v>
      </c>
      <c r="G412" t="s">
        <v>91</v>
      </c>
    </row>
    <row r="413" spans="1:7">
      <c r="A413">
        <v>1119.5</v>
      </c>
      <c r="B413">
        <v>195.89155162997713</v>
      </c>
      <c r="C413">
        <v>4</v>
      </c>
      <c r="D413" t="s">
        <v>19</v>
      </c>
      <c r="E413">
        <v>1</v>
      </c>
      <c r="F413" t="s">
        <v>89</v>
      </c>
      <c r="G413" t="s">
        <v>91</v>
      </c>
    </row>
    <row r="414" spans="1:7">
      <c r="A414">
        <v>1981.5</v>
      </c>
      <c r="B414">
        <v>606.61143128977426</v>
      </c>
      <c r="C414">
        <v>5</v>
      </c>
      <c r="D414" t="s">
        <v>19</v>
      </c>
      <c r="E414">
        <v>1</v>
      </c>
      <c r="F414" t="s">
        <v>89</v>
      </c>
      <c r="G414" t="s">
        <v>91</v>
      </c>
    </row>
    <row r="415" spans="1:7">
      <c r="A415">
        <v>3886.3333333333335</v>
      </c>
      <c r="B415">
        <v>1304.2106169378212</v>
      </c>
      <c r="C415">
        <v>6</v>
      </c>
      <c r="D415" t="s">
        <v>19</v>
      </c>
      <c r="E415">
        <v>1</v>
      </c>
      <c r="F415" t="s">
        <v>89</v>
      </c>
      <c r="G415" t="s">
        <v>91</v>
      </c>
    </row>
    <row r="416" spans="1:7">
      <c r="A416">
        <v>4486.416666666667</v>
      </c>
      <c r="B416">
        <v>1218.9059519491111</v>
      </c>
      <c r="C416">
        <v>7</v>
      </c>
      <c r="D416" t="s">
        <v>19</v>
      </c>
      <c r="E416">
        <v>1</v>
      </c>
      <c r="F416" t="s">
        <v>89</v>
      </c>
      <c r="G416" t="s">
        <v>91</v>
      </c>
    </row>
    <row r="417" spans="1:7">
      <c r="A417">
        <v>7058.1111111111113</v>
      </c>
      <c r="B417">
        <v>2163.9492510479795</v>
      </c>
      <c r="C417">
        <v>8</v>
      </c>
      <c r="D417" t="s">
        <v>19</v>
      </c>
      <c r="E417">
        <v>1</v>
      </c>
      <c r="F417" t="s">
        <v>89</v>
      </c>
      <c r="G417" t="s">
        <v>91</v>
      </c>
    </row>
    <row r="418" spans="1:7">
      <c r="A418">
        <v>5418.2857142857147</v>
      </c>
      <c r="B418">
        <v>702.96033892051037</v>
      </c>
      <c r="C418">
        <v>9</v>
      </c>
      <c r="D418" t="s">
        <v>19</v>
      </c>
      <c r="E418">
        <v>1</v>
      </c>
      <c r="F418" t="s">
        <v>89</v>
      </c>
      <c r="G418" t="s">
        <v>91</v>
      </c>
    </row>
    <row r="419" spans="1:7">
      <c r="A419">
        <v>5158.625</v>
      </c>
      <c r="B419">
        <v>889.92053216645616</v>
      </c>
      <c r="C419">
        <v>10</v>
      </c>
      <c r="D419" t="s">
        <v>19</v>
      </c>
      <c r="E419">
        <v>1</v>
      </c>
      <c r="F419" t="s">
        <v>89</v>
      </c>
      <c r="G419" t="s">
        <v>91</v>
      </c>
    </row>
    <row r="420" spans="1:7">
      <c r="A420">
        <v>5117</v>
      </c>
      <c r="B420">
        <v>967.47595023634278</v>
      </c>
      <c r="C420">
        <v>11</v>
      </c>
      <c r="D420" t="s">
        <v>19</v>
      </c>
      <c r="E420">
        <v>1</v>
      </c>
      <c r="F420" t="s">
        <v>89</v>
      </c>
      <c r="G420" t="s">
        <v>91</v>
      </c>
    </row>
    <row r="421" spans="1:7">
      <c r="A421">
        <v>3290.375</v>
      </c>
      <c r="B421">
        <v>599.07713252492431</v>
      </c>
      <c r="C421">
        <v>12</v>
      </c>
      <c r="D421" t="s">
        <v>19</v>
      </c>
      <c r="E421">
        <v>1</v>
      </c>
      <c r="F421" t="s">
        <v>89</v>
      </c>
      <c r="G421" t="s">
        <v>91</v>
      </c>
    </row>
    <row r="422" spans="1:7">
      <c r="A422">
        <v>1509.5597499999999</v>
      </c>
      <c r="B422">
        <v>263.31434828151083</v>
      </c>
      <c r="C422">
        <v>1</v>
      </c>
      <c r="D422" t="s">
        <v>18</v>
      </c>
      <c r="E422">
        <v>1</v>
      </c>
      <c r="F422" t="s">
        <v>89</v>
      </c>
      <c r="G422" t="s">
        <v>91</v>
      </c>
    </row>
    <row r="423" spans="1:7">
      <c r="A423">
        <v>3570.1852500000005</v>
      </c>
      <c r="B423">
        <v>1421.2426629815593</v>
      </c>
      <c r="C423">
        <v>2</v>
      </c>
      <c r="D423" t="s">
        <v>18</v>
      </c>
      <c r="E423">
        <v>1</v>
      </c>
      <c r="F423" t="s">
        <v>89</v>
      </c>
      <c r="G423" t="s">
        <v>91</v>
      </c>
    </row>
    <row r="424" spans="1:7">
      <c r="A424">
        <v>1267.5450000000001</v>
      </c>
      <c r="B424">
        <v>299.47185343645572</v>
      </c>
      <c r="C424">
        <v>3</v>
      </c>
      <c r="D424" t="s">
        <v>18</v>
      </c>
      <c r="E424">
        <v>1</v>
      </c>
      <c r="F424" t="s">
        <v>89</v>
      </c>
      <c r="G424" t="s">
        <v>91</v>
      </c>
    </row>
    <row r="425" spans="1:7">
      <c r="A425">
        <v>1355.11375</v>
      </c>
      <c r="B425">
        <v>363.30225296702616</v>
      </c>
      <c r="C425">
        <v>4</v>
      </c>
      <c r="D425" t="s">
        <v>18</v>
      </c>
      <c r="E425">
        <v>1</v>
      </c>
      <c r="F425" t="s">
        <v>89</v>
      </c>
      <c r="G425" t="s">
        <v>91</v>
      </c>
    </row>
    <row r="426" spans="1:7">
      <c r="A426">
        <v>1094.1002000000001</v>
      </c>
      <c r="B426">
        <v>370.95906635126164</v>
      </c>
      <c r="C426">
        <v>5</v>
      </c>
      <c r="D426" t="s">
        <v>18</v>
      </c>
      <c r="E426">
        <v>1</v>
      </c>
      <c r="F426" t="s">
        <v>89</v>
      </c>
      <c r="G426" t="s">
        <v>91</v>
      </c>
    </row>
    <row r="427" spans="1:7">
      <c r="A427">
        <v>2738.121333333334</v>
      </c>
      <c r="B427">
        <v>1111.6606362495472</v>
      </c>
      <c r="C427">
        <v>6</v>
      </c>
      <c r="D427" t="s">
        <v>18</v>
      </c>
      <c r="E427">
        <v>1</v>
      </c>
      <c r="F427" t="s">
        <v>89</v>
      </c>
      <c r="G427" t="s">
        <v>91</v>
      </c>
    </row>
    <row r="428" spans="1:7">
      <c r="A428">
        <v>4263.353444444444</v>
      </c>
      <c r="B428">
        <v>1188.8817868163048</v>
      </c>
      <c r="C428">
        <v>7</v>
      </c>
      <c r="D428" t="s">
        <v>18</v>
      </c>
      <c r="E428">
        <v>1</v>
      </c>
      <c r="F428" t="s">
        <v>89</v>
      </c>
      <c r="G428" t="s">
        <v>91</v>
      </c>
    </row>
    <row r="429" spans="1:7">
      <c r="A429">
        <v>7777.1733999999997</v>
      </c>
      <c r="B429">
        <v>516.81186321987605</v>
      </c>
      <c r="C429">
        <v>8</v>
      </c>
      <c r="D429" t="s">
        <v>18</v>
      </c>
      <c r="E429">
        <v>1</v>
      </c>
      <c r="F429" t="s">
        <v>89</v>
      </c>
      <c r="G429" t="s">
        <v>91</v>
      </c>
    </row>
    <row r="430" spans="1:7">
      <c r="A430">
        <v>6889.694375</v>
      </c>
      <c r="B430">
        <v>1494.955203637119</v>
      </c>
      <c r="C430">
        <v>9</v>
      </c>
      <c r="D430" t="s">
        <v>18</v>
      </c>
      <c r="E430">
        <v>1</v>
      </c>
      <c r="F430" t="s">
        <v>89</v>
      </c>
      <c r="G430" t="s">
        <v>91</v>
      </c>
    </row>
    <row r="431" spans="1:7">
      <c r="A431">
        <v>5915.5486000000001</v>
      </c>
      <c r="B431">
        <v>1573.7595025410635</v>
      </c>
      <c r="C431">
        <v>10</v>
      </c>
      <c r="D431" t="s">
        <v>18</v>
      </c>
      <c r="E431">
        <v>1</v>
      </c>
      <c r="F431" t="s">
        <v>89</v>
      </c>
      <c r="G431" t="s">
        <v>91</v>
      </c>
    </row>
    <row r="432" spans="1:7">
      <c r="A432">
        <v>5110.924</v>
      </c>
      <c r="B432">
        <v>939.3842877385149</v>
      </c>
      <c r="C432">
        <v>11</v>
      </c>
      <c r="D432" t="s">
        <v>18</v>
      </c>
      <c r="E432">
        <v>1</v>
      </c>
      <c r="F432" t="s">
        <v>89</v>
      </c>
      <c r="G432" t="s">
        <v>91</v>
      </c>
    </row>
    <row r="433" spans="1:7">
      <c r="A433">
        <v>3057.2714999999998</v>
      </c>
      <c r="B433">
        <v>58.2026662662457</v>
      </c>
      <c r="C433">
        <v>12</v>
      </c>
      <c r="D433" t="s">
        <v>18</v>
      </c>
      <c r="E433">
        <v>1</v>
      </c>
      <c r="F433" t="s">
        <v>89</v>
      </c>
      <c r="G433" t="s">
        <v>91</v>
      </c>
    </row>
    <row r="434" spans="1:7">
      <c r="A434">
        <v>2298.75</v>
      </c>
      <c r="B434">
        <v>257.2202363734238</v>
      </c>
      <c r="C434">
        <v>1</v>
      </c>
      <c r="D434" t="s">
        <v>19</v>
      </c>
      <c r="E434">
        <v>1</v>
      </c>
      <c r="F434" t="s">
        <v>96</v>
      </c>
      <c r="G434" t="s">
        <v>92</v>
      </c>
    </row>
    <row r="435" spans="1:7">
      <c r="A435">
        <v>4674</v>
      </c>
      <c r="B435">
        <v>842.20543812065239</v>
      </c>
      <c r="C435">
        <v>2</v>
      </c>
      <c r="D435" t="s">
        <v>19</v>
      </c>
      <c r="E435">
        <v>1</v>
      </c>
      <c r="F435" t="s">
        <v>96</v>
      </c>
      <c r="G435" t="s">
        <v>92</v>
      </c>
    </row>
    <row r="436" spans="1:7">
      <c r="A436">
        <v>1402.25</v>
      </c>
      <c r="B436">
        <v>109.15852386934029</v>
      </c>
      <c r="C436">
        <v>3</v>
      </c>
      <c r="D436" t="s">
        <v>19</v>
      </c>
      <c r="E436">
        <v>1</v>
      </c>
      <c r="F436" t="s">
        <v>96</v>
      </c>
      <c r="G436" t="s">
        <v>92</v>
      </c>
    </row>
    <row r="437" spans="1:7">
      <c r="A437">
        <v>1199</v>
      </c>
      <c r="B437">
        <v>122.49353724448758</v>
      </c>
      <c r="C437">
        <v>4</v>
      </c>
      <c r="D437" t="s">
        <v>19</v>
      </c>
      <c r="E437">
        <v>1</v>
      </c>
      <c r="F437" t="s">
        <v>96</v>
      </c>
      <c r="G437" t="s">
        <v>92</v>
      </c>
    </row>
    <row r="438" spans="1:7">
      <c r="A438">
        <v>1137.6666666666667</v>
      </c>
      <c r="B438">
        <v>499.36826758081713</v>
      </c>
      <c r="C438">
        <v>5</v>
      </c>
      <c r="D438" t="s">
        <v>19</v>
      </c>
      <c r="E438">
        <v>1</v>
      </c>
      <c r="F438" t="s">
        <v>96</v>
      </c>
      <c r="G438" t="s">
        <v>92</v>
      </c>
    </row>
    <row r="439" spans="1:7">
      <c r="A439">
        <v>672.83333333333337</v>
      </c>
      <c r="B439">
        <v>470.68903393500329</v>
      </c>
      <c r="C439">
        <v>6</v>
      </c>
      <c r="D439" t="s">
        <v>19</v>
      </c>
      <c r="E439">
        <v>1</v>
      </c>
      <c r="F439" t="s">
        <v>96</v>
      </c>
      <c r="G439" t="s">
        <v>92</v>
      </c>
    </row>
    <row r="440" spans="1:7">
      <c r="A440">
        <v>119</v>
      </c>
      <c r="B440">
        <v>1048.9067324282619</v>
      </c>
      <c r="C440">
        <v>7</v>
      </c>
      <c r="D440" t="s">
        <v>19</v>
      </c>
      <c r="E440">
        <v>1</v>
      </c>
      <c r="F440" t="s">
        <v>96</v>
      </c>
      <c r="G440" t="s">
        <v>92</v>
      </c>
    </row>
    <row r="441" spans="1:7">
      <c r="A441">
        <v>656.28571428571433</v>
      </c>
      <c r="B441">
        <v>1022.7741220630804</v>
      </c>
      <c r="C441">
        <v>8</v>
      </c>
      <c r="D441" t="s">
        <v>19</v>
      </c>
      <c r="E441">
        <v>1</v>
      </c>
      <c r="F441" t="s">
        <v>96</v>
      </c>
      <c r="G441" t="s">
        <v>92</v>
      </c>
    </row>
    <row r="442" spans="1:7">
      <c r="A442">
        <v>891.7</v>
      </c>
      <c r="B442">
        <v>1173.0983713605985</v>
      </c>
      <c r="C442">
        <v>9</v>
      </c>
      <c r="D442" t="s">
        <v>19</v>
      </c>
      <c r="E442">
        <v>1</v>
      </c>
      <c r="F442" t="s">
        <v>96</v>
      </c>
      <c r="G442" t="s">
        <v>92</v>
      </c>
    </row>
    <row r="443" spans="1:7">
      <c r="A443">
        <v>2186.3333333333335</v>
      </c>
      <c r="B443">
        <v>1037.3225149393027</v>
      </c>
      <c r="C443">
        <v>10</v>
      </c>
      <c r="D443" t="s">
        <v>19</v>
      </c>
      <c r="E443">
        <v>1</v>
      </c>
      <c r="F443" t="s">
        <v>96</v>
      </c>
      <c r="G443" t="s">
        <v>92</v>
      </c>
    </row>
    <row r="444" spans="1:7">
      <c r="A444">
        <v>409.8</v>
      </c>
      <c r="B444">
        <v>731.50101389767963</v>
      </c>
      <c r="C444">
        <v>11</v>
      </c>
      <c r="D444" t="s">
        <v>19</v>
      </c>
      <c r="E444">
        <v>1</v>
      </c>
      <c r="F444" t="s">
        <v>96</v>
      </c>
      <c r="G444" t="s">
        <v>92</v>
      </c>
    </row>
    <row r="445" spans="1:7">
      <c r="A445">
        <v>41.5</v>
      </c>
      <c r="B445">
        <v>556.36588680471777</v>
      </c>
      <c r="C445">
        <v>12</v>
      </c>
      <c r="D445" t="s">
        <v>19</v>
      </c>
      <c r="E445">
        <v>1</v>
      </c>
      <c r="F445" t="s">
        <v>96</v>
      </c>
      <c r="G445" t="s">
        <v>92</v>
      </c>
    </row>
    <row r="446" spans="1:7">
      <c r="A446">
        <v>2777</v>
      </c>
      <c r="B446">
        <v>787.56840972705345</v>
      </c>
      <c r="C446">
        <v>1</v>
      </c>
      <c r="D446" t="s">
        <v>18</v>
      </c>
      <c r="E446">
        <v>1</v>
      </c>
      <c r="F446" t="s">
        <v>96</v>
      </c>
      <c r="G446" t="s">
        <v>92</v>
      </c>
    </row>
    <row r="447" spans="1:7">
      <c r="A447">
        <v>5946.75</v>
      </c>
      <c r="B447">
        <v>1360.5686005000507</v>
      </c>
      <c r="C447">
        <v>2</v>
      </c>
      <c r="D447" t="s">
        <v>18</v>
      </c>
      <c r="E447">
        <v>1</v>
      </c>
      <c r="F447" t="s">
        <v>96</v>
      </c>
      <c r="G447" t="s">
        <v>92</v>
      </c>
    </row>
    <row r="448" spans="1:7">
      <c r="A448">
        <v>2382.6666666666665</v>
      </c>
      <c r="B448">
        <v>680.57132861540231</v>
      </c>
      <c r="C448">
        <v>3</v>
      </c>
      <c r="D448" t="s">
        <v>18</v>
      </c>
      <c r="E448">
        <v>1</v>
      </c>
      <c r="F448" t="s">
        <v>96</v>
      </c>
      <c r="G448" t="s">
        <v>92</v>
      </c>
    </row>
    <row r="449" spans="1:7">
      <c r="A449">
        <v>2766.75</v>
      </c>
      <c r="B449">
        <v>1171.471261562428</v>
      </c>
      <c r="C449">
        <v>4</v>
      </c>
      <c r="D449" t="s">
        <v>18</v>
      </c>
      <c r="E449">
        <v>1</v>
      </c>
      <c r="F449" t="s">
        <v>96</v>
      </c>
      <c r="G449" t="s">
        <v>92</v>
      </c>
    </row>
    <row r="450" spans="1:7">
      <c r="A450">
        <v>4137</v>
      </c>
      <c r="B450">
        <v>465.29947345768619</v>
      </c>
      <c r="C450">
        <v>5</v>
      </c>
      <c r="D450" t="s">
        <v>18</v>
      </c>
      <c r="E450">
        <v>1</v>
      </c>
      <c r="F450" t="s">
        <v>96</v>
      </c>
      <c r="G450" t="s">
        <v>92</v>
      </c>
    </row>
    <row r="451" spans="1:7">
      <c r="A451">
        <v>6226</v>
      </c>
      <c r="B451">
        <v>758.41281634740324</v>
      </c>
      <c r="C451">
        <v>6</v>
      </c>
      <c r="D451" t="s">
        <v>18</v>
      </c>
      <c r="E451">
        <v>1</v>
      </c>
      <c r="F451" t="s">
        <v>96</v>
      </c>
      <c r="G451" t="s">
        <v>92</v>
      </c>
    </row>
    <row r="452" spans="1:7">
      <c r="A452">
        <v>12114.6</v>
      </c>
      <c r="B452">
        <v>1638.8908749517193</v>
      </c>
      <c r="C452">
        <v>7</v>
      </c>
      <c r="D452" t="s">
        <v>18</v>
      </c>
      <c r="E452">
        <v>1</v>
      </c>
      <c r="F452" t="s">
        <v>96</v>
      </c>
      <c r="G452" t="s">
        <v>92</v>
      </c>
    </row>
    <row r="453" spans="1:7">
      <c r="A453">
        <v>12914</v>
      </c>
      <c r="B453">
        <v>686.97962124068863</v>
      </c>
      <c r="C453">
        <v>8</v>
      </c>
      <c r="D453" t="s">
        <v>18</v>
      </c>
      <c r="E453">
        <v>1</v>
      </c>
      <c r="F453" t="s">
        <v>96</v>
      </c>
      <c r="G453" t="s">
        <v>92</v>
      </c>
    </row>
    <row r="454" spans="1:7">
      <c r="A454">
        <v>12556.875</v>
      </c>
      <c r="B454">
        <v>419.38507279791719</v>
      </c>
      <c r="C454">
        <v>9</v>
      </c>
      <c r="D454" t="s">
        <v>18</v>
      </c>
      <c r="E454">
        <v>1</v>
      </c>
      <c r="F454" t="s">
        <v>96</v>
      </c>
      <c r="G454" t="s">
        <v>92</v>
      </c>
    </row>
    <row r="455" spans="1:7">
      <c r="A455">
        <v>12084.333333333334</v>
      </c>
      <c r="B455">
        <v>488.89705801255684</v>
      </c>
      <c r="C455">
        <v>10</v>
      </c>
      <c r="D455" t="s">
        <v>18</v>
      </c>
      <c r="E455">
        <v>1</v>
      </c>
      <c r="F455" t="s">
        <v>96</v>
      </c>
      <c r="G455" t="s">
        <v>92</v>
      </c>
    </row>
    <row r="456" spans="1:7">
      <c r="A456">
        <v>11048.5</v>
      </c>
      <c r="B456">
        <v>1020.2204010245367</v>
      </c>
      <c r="C456">
        <v>11</v>
      </c>
      <c r="D456" t="s">
        <v>18</v>
      </c>
      <c r="E456">
        <v>1</v>
      </c>
      <c r="F456" t="s">
        <v>96</v>
      </c>
      <c r="G456" t="s">
        <v>92</v>
      </c>
    </row>
    <row r="457" spans="1:7">
      <c r="A457">
        <v>10488.333333333334</v>
      </c>
      <c r="B457">
        <v>263.33691980680061</v>
      </c>
      <c r="C457">
        <v>12</v>
      </c>
      <c r="D457" t="s">
        <v>18</v>
      </c>
      <c r="E457">
        <v>1</v>
      </c>
      <c r="F457" t="s">
        <v>96</v>
      </c>
      <c r="G457" t="s">
        <v>92</v>
      </c>
    </row>
    <row r="458" spans="1:7">
      <c r="A458">
        <v>2474.5</v>
      </c>
      <c r="B458">
        <v>529.81411834718028</v>
      </c>
      <c r="C458">
        <v>1</v>
      </c>
      <c r="D458" t="s">
        <v>19</v>
      </c>
      <c r="E458">
        <v>1</v>
      </c>
      <c r="F458" t="s">
        <v>97</v>
      </c>
      <c r="G458" t="s">
        <v>90</v>
      </c>
    </row>
    <row r="459" spans="1:7">
      <c r="A459">
        <v>5092.8</v>
      </c>
      <c r="B459">
        <v>1561.6144530581162</v>
      </c>
      <c r="C459">
        <v>2</v>
      </c>
      <c r="D459" t="s">
        <v>19</v>
      </c>
      <c r="E459">
        <v>1</v>
      </c>
      <c r="F459" t="s">
        <v>97</v>
      </c>
      <c r="G459" t="s">
        <v>90</v>
      </c>
    </row>
    <row r="460" spans="1:7">
      <c r="A460">
        <v>2029.25</v>
      </c>
      <c r="B460">
        <v>384.90464187033825</v>
      </c>
      <c r="C460">
        <v>3</v>
      </c>
      <c r="D460" t="s">
        <v>19</v>
      </c>
      <c r="E460">
        <v>1</v>
      </c>
      <c r="F460" t="s">
        <v>97</v>
      </c>
      <c r="G460" t="s">
        <v>90</v>
      </c>
    </row>
    <row r="461" spans="1:7">
      <c r="A461">
        <v>2350.5</v>
      </c>
      <c r="B461">
        <v>245.41461515837506</v>
      </c>
      <c r="C461">
        <v>4</v>
      </c>
      <c r="D461" t="s">
        <v>19</v>
      </c>
      <c r="E461">
        <v>1</v>
      </c>
      <c r="F461" t="s">
        <v>97</v>
      </c>
      <c r="G461" t="s">
        <v>90</v>
      </c>
    </row>
    <row r="462" spans="1:7">
      <c r="A462">
        <v>2120</v>
      </c>
      <c r="B462">
        <v>454.1901217185009</v>
      </c>
      <c r="C462">
        <v>5</v>
      </c>
      <c r="D462" t="s">
        <v>19</v>
      </c>
      <c r="E462">
        <v>1</v>
      </c>
      <c r="F462" t="s">
        <v>97</v>
      </c>
      <c r="G462" t="s">
        <v>90</v>
      </c>
    </row>
    <row r="463" spans="1:7">
      <c r="A463">
        <v>2438.5714285714284</v>
      </c>
      <c r="B463">
        <v>530.61280834611659</v>
      </c>
      <c r="C463">
        <v>6</v>
      </c>
      <c r="D463" t="s">
        <v>19</v>
      </c>
      <c r="E463">
        <v>1</v>
      </c>
      <c r="F463" t="s">
        <v>97</v>
      </c>
      <c r="G463" t="s">
        <v>90</v>
      </c>
    </row>
    <row r="464" spans="1:7">
      <c r="A464">
        <v>4844.8571428571431</v>
      </c>
      <c r="B464">
        <v>885.71956219626554</v>
      </c>
      <c r="C464">
        <v>7</v>
      </c>
      <c r="D464" t="s">
        <v>19</v>
      </c>
      <c r="E464">
        <v>1</v>
      </c>
      <c r="F464" t="s">
        <v>97</v>
      </c>
      <c r="G464" t="s">
        <v>90</v>
      </c>
    </row>
    <row r="465" spans="1:7">
      <c r="A465">
        <v>3200.5</v>
      </c>
      <c r="B465">
        <v>810.45275412368528</v>
      </c>
      <c r="C465">
        <v>8</v>
      </c>
      <c r="D465" t="s">
        <v>19</v>
      </c>
      <c r="E465">
        <v>1</v>
      </c>
      <c r="F465" t="s">
        <v>97</v>
      </c>
      <c r="G465" t="s">
        <v>90</v>
      </c>
    </row>
    <row r="466" spans="1:7">
      <c r="A466">
        <v>2933.5714285714284</v>
      </c>
      <c r="B466">
        <v>485.49145448808133</v>
      </c>
      <c r="C466">
        <v>9</v>
      </c>
      <c r="D466" t="s">
        <v>19</v>
      </c>
      <c r="E466">
        <v>1</v>
      </c>
      <c r="F466" t="s">
        <v>97</v>
      </c>
      <c r="G466" t="s">
        <v>90</v>
      </c>
    </row>
    <row r="467" spans="1:7">
      <c r="A467">
        <v>536.75</v>
      </c>
      <c r="B467">
        <v>991.63547569995023</v>
      </c>
      <c r="C467">
        <v>10</v>
      </c>
      <c r="D467" t="s">
        <v>19</v>
      </c>
      <c r="E467">
        <v>1</v>
      </c>
      <c r="F467" t="s">
        <v>97</v>
      </c>
      <c r="G467" t="s">
        <v>90</v>
      </c>
    </row>
    <row r="468" spans="1:7">
      <c r="A468">
        <v>-28.75</v>
      </c>
      <c r="B468">
        <v>751.64367507863346</v>
      </c>
      <c r="C468">
        <v>11</v>
      </c>
      <c r="D468" t="s">
        <v>19</v>
      </c>
      <c r="E468">
        <v>1</v>
      </c>
      <c r="F468" t="s">
        <v>97</v>
      </c>
      <c r="G468" t="s">
        <v>90</v>
      </c>
    </row>
    <row r="469" spans="1:7">
      <c r="A469">
        <v>151.33333333333334</v>
      </c>
      <c r="B469">
        <v>263.1058088805085</v>
      </c>
      <c r="C469">
        <v>12</v>
      </c>
      <c r="D469" t="s">
        <v>19</v>
      </c>
      <c r="E469">
        <v>1</v>
      </c>
      <c r="F469" t="s">
        <v>97</v>
      </c>
      <c r="G469" t="s">
        <v>90</v>
      </c>
    </row>
    <row r="470" spans="1:7">
      <c r="A470">
        <v>2624.3333333333335</v>
      </c>
      <c r="B470">
        <v>670.35090313457022</v>
      </c>
      <c r="C470">
        <v>1</v>
      </c>
      <c r="D470" t="s">
        <v>18</v>
      </c>
      <c r="E470">
        <v>1</v>
      </c>
      <c r="F470" t="s">
        <v>97</v>
      </c>
      <c r="G470" t="s">
        <v>90</v>
      </c>
    </row>
    <row r="471" spans="1:7">
      <c r="A471">
        <v>5041.25</v>
      </c>
      <c r="B471">
        <v>426.80704071043624</v>
      </c>
      <c r="C471">
        <v>2</v>
      </c>
      <c r="D471" t="s">
        <v>18</v>
      </c>
      <c r="E471">
        <v>1</v>
      </c>
      <c r="F471" t="s">
        <v>97</v>
      </c>
      <c r="G471" t="s">
        <v>90</v>
      </c>
    </row>
    <row r="472" spans="1:7">
      <c r="A472">
        <v>2566</v>
      </c>
      <c r="B472">
        <v>748.97529999326412</v>
      </c>
      <c r="C472">
        <v>3</v>
      </c>
      <c r="D472" t="s">
        <v>18</v>
      </c>
      <c r="E472">
        <v>1</v>
      </c>
      <c r="F472" t="s">
        <v>97</v>
      </c>
      <c r="G472" t="s">
        <v>90</v>
      </c>
    </row>
    <row r="473" spans="1:7">
      <c r="A473">
        <v>2879.6666666666665</v>
      </c>
      <c r="B473">
        <v>642.27512277320375</v>
      </c>
      <c r="C473">
        <v>4</v>
      </c>
      <c r="D473" t="s">
        <v>18</v>
      </c>
      <c r="E473">
        <v>1</v>
      </c>
      <c r="F473" t="s">
        <v>97</v>
      </c>
      <c r="G473" t="s">
        <v>90</v>
      </c>
    </row>
    <row r="474" spans="1:7">
      <c r="A474">
        <v>3235.6666666666665</v>
      </c>
      <c r="B474">
        <v>118.1453906563152</v>
      </c>
      <c r="C474">
        <v>5</v>
      </c>
      <c r="D474" t="s">
        <v>18</v>
      </c>
      <c r="E474">
        <v>1</v>
      </c>
      <c r="F474" t="s">
        <v>97</v>
      </c>
      <c r="G474" t="s">
        <v>90</v>
      </c>
    </row>
    <row r="475" spans="1:7">
      <c r="A475">
        <v>5827.25</v>
      </c>
      <c r="B475">
        <v>1070.3449210418107</v>
      </c>
      <c r="C475">
        <v>6</v>
      </c>
      <c r="D475" t="s">
        <v>18</v>
      </c>
      <c r="E475">
        <v>1</v>
      </c>
      <c r="F475" t="s">
        <v>97</v>
      </c>
      <c r="G475" t="s">
        <v>90</v>
      </c>
    </row>
    <row r="476" spans="1:7">
      <c r="A476">
        <v>8205.3333333333339</v>
      </c>
      <c r="B476">
        <v>1378.8706731718273</v>
      </c>
      <c r="C476">
        <v>7</v>
      </c>
      <c r="D476" t="s">
        <v>18</v>
      </c>
      <c r="E476">
        <v>1</v>
      </c>
      <c r="F476" t="s">
        <v>97</v>
      </c>
      <c r="G476" t="s">
        <v>90</v>
      </c>
    </row>
    <row r="477" spans="1:7">
      <c r="A477">
        <v>8105.666666666667</v>
      </c>
      <c r="B477">
        <v>1965.9410808397408</v>
      </c>
      <c r="C477">
        <v>8</v>
      </c>
      <c r="D477" t="s">
        <v>18</v>
      </c>
      <c r="E477">
        <v>1</v>
      </c>
      <c r="F477" t="s">
        <v>97</v>
      </c>
      <c r="G477" t="s">
        <v>90</v>
      </c>
    </row>
    <row r="478" spans="1:7">
      <c r="A478">
        <v>9070.6666666666661</v>
      </c>
      <c r="B478">
        <v>889.31677895637017</v>
      </c>
      <c r="C478">
        <v>9</v>
      </c>
      <c r="D478" t="s">
        <v>18</v>
      </c>
      <c r="E478">
        <v>1</v>
      </c>
      <c r="F478" t="s">
        <v>97</v>
      </c>
      <c r="G478" t="s">
        <v>90</v>
      </c>
    </row>
    <row r="479" spans="1:7">
      <c r="A479">
        <v>9812.3333333333339</v>
      </c>
      <c r="B479">
        <v>433.15393722478541</v>
      </c>
      <c r="C479">
        <v>10</v>
      </c>
      <c r="D479" t="s">
        <v>18</v>
      </c>
      <c r="E479">
        <v>1</v>
      </c>
      <c r="F479" t="s">
        <v>97</v>
      </c>
      <c r="G479" t="s">
        <v>90</v>
      </c>
    </row>
    <row r="480" spans="1:7">
      <c r="A480">
        <v>8523.6</v>
      </c>
      <c r="B480">
        <v>582.52236008585965</v>
      </c>
      <c r="C480">
        <v>11</v>
      </c>
      <c r="D480" t="s">
        <v>18</v>
      </c>
      <c r="E480">
        <v>1</v>
      </c>
      <c r="F480" t="s">
        <v>97</v>
      </c>
      <c r="G480" t="s">
        <v>90</v>
      </c>
    </row>
    <row r="481" spans="1:7">
      <c r="A481">
        <v>9315</v>
      </c>
      <c r="B481">
        <v>1534.0074967222292</v>
      </c>
      <c r="C481">
        <v>12</v>
      </c>
      <c r="D481" t="s">
        <v>18</v>
      </c>
      <c r="E481">
        <v>1</v>
      </c>
      <c r="F481" t="s">
        <v>97</v>
      </c>
      <c r="G481" t="s">
        <v>90</v>
      </c>
    </row>
    <row r="482" spans="1:7">
      <c r="A482">
        <v>2411.1999999999998</v>
      </c>
      <c r="B482">
        <v>379.08073018817532</v>
      </c>
      <c r="C482">
        <v>1</v>
      </c>
      <c r="D482" t="s">
        <v>19</v>
      </c>
      <c r="E482">
        <v>1</v>
      </c>
      <c r="F482" t="s">
        <v>100</v>
      </c>
      <c r="G482" t="s">
        <v>90</v>
      </c>
    </row>
    <row r="483" spans="1:7">
      <c r="A483">
        <v>4010.3333333333335</v>
      </c>
      <c r="B483">
        <v>339.29849198996845</v>
      </c>
      <c r="C483">
        <v>2</v>
      </c>
      <c r="D483" t="s">
        <v>19</v>
      </c>
      <c r="E483">
        <v>1</v>
      </c>
      <c r="F483" t="s">
        <v>100</v>
      </c>
      <c r="G483" t="s">
        <v>90</v>
      </c>
    </row>
    <row r="484" spans="1:7">
      <c r="A484">
        <v>1557.5</v>
      </c>
      <c r="B484">
        <v>214.89920117735818</v>
      </c>
      <c r="C484">
        <v>3</v>
      </c>
      <c r="D484" t="s">
        <v>19</v>
      </c>
      <c r="E484">
        <v>1</v>
      </c>
      <c r="F484" t="s">
        <v>100</v>
      </c>
      <c r="G484" t="s">
        <v>90</v>
      </c>
    </row>
    <row r="485" spans="1:7">
      <c r="A485">
        <v>1607.5</v>
      </c>
      <c r="B485">
        <v>239.43614319201407</v>
      </c>
      <c r="C485">
        <v>4</v>
      </c>
      <c r="D485" t="s">
        <v>19</v>
      </c>
      <c r="E485">
        <v>1</v>
      </c>
      <c r="F485" t="s">
        <v>100</v>
      </c>
      <c r="G485" t="s">
        <v>90</v>
      </c>
    </row>
    <row r="486" spans="1:7">
      <c r="A486">
        <v>1570.75</v>
      </c>
      <c r="B486">
        <v>317.3330269606364</v>
      </c>
      <c r="C486">
        <v>5</v>
      </c>
      <c r="D486" t="s">
        <v>19</v>
      </c>
      <c r="E486">
        <v>1</v>
      </c>
      <c r="F486" t="s">
        <v>100</v>
      </c>
      <c r="G486" t="s">
        <v>90</v>
      </c>
    </row>
    <row r="487" spans="1:7">
      <c r="A487">
        <v>2660</v>
      </c>
      <c r="B487">
        <v>203.53378097996412</v>
      </c>
      <c r="C487">
        <v>6</v>
      </c>
      <c r="D487" t="s">
        <v>19</v>
      </c>
      <c r="E487">
        <v>1</v>
      </c>
      <c r="F487" t="s">
        <v>100</v>
      </c>
      <c r="G487" t="s">
        <v>90</v>
      </c>
    </row>
    <row r="488" spans="1:7">
      <c r="A488">
        <v>4390.666666666667</v>
      </c>
      <c r="B488">
        <v>619.78985686010196</v>
      </c>
      <c r="C488">
        <v>7</v>
      </c>
      <c r="D488" t="s">
        <v>19</v>
      </c>
      <c r="E488">
        <v>1</v>
      </c>
      <c r="F488" t="s">
        <v>100</v>
      </c>
      <c r="G488" t="s">
        <v>90</v>
      </c>
    </row>
    <row r="489" spans="1:7">
      <c r="A489">
        <v>4213.3999999999996</v>
      </c>
      <c r="B489">
        <v>205.23108926281125</v>
      </c>
      <c r="C489">
        <v>8</v>
      </c>
      <c r="D489" t="s">
        <v>19</v>
      </c>
      <c r="E489">
        <v>1</v>
      </c>
      <c r="F489" t="s">
        <v>100</v>
      </c>
      <c r="G489" t="s">
        <v>90</v>
      </c>
    </row>
    <row r="490" spans="1:7">
      <c r="A490">
        <v>4128.5714285714284</v>
      </c>
      <c r="B490">
        <v>1310.0513803082761</v>
      </c>
      <c r="C490">
        <v>9</v>
      </c>
      <c r="D490" t="s">
        <v>19</v>
      </c>
      <c r="E490">
        <v>1</v>
      </c>
      <c r="F490" t="s">
        <v>100</v>
      </c>
      <c r="G490" t="s">
        <v>90</v>
      </c>
    </row>
    <row r="491" spans="1:7">
      <c r="A491">
        <v>1906.125</v>
      </c>
      <c r="B491">
        <v>531.93862092216182</v>
      </c>
      <c r="C491">
        <v>10</v>
      </c>
      <c r="D491" t="s">
        <v>19</v>
      </c>
      <c r="E491">
        <v>1</v>
      </c>
      <c r="F491" t="s">
        <v>100</v>
      </c>
      <c r="G491" t="s">
        <v>90</v>
      </c>
    </row>
    <row r="492" spans="1:7">
      <c r="A492">
        <v>1602.5714285714287</v>
      </c>
      <c r="B492">
        <v>669.7852534314901</v>
      </c>
      <c r="C492">
        <v>11</v>
      </c>
      <c r="D492" t="s">
        <v>19</v>
      </c>
      <c r="E492">
        <v>1</v>
      </c>
      <c r="F492" t="s">
        <v>100</v>
      </c>
      <c r="G492" t="s">
        <v>90</v>
      </c>
    </row>
    <row r="493" spans="1:7">
      <c r="A493">
        <v>962</v>
      </c>
      <c r="B493">
        <v>408.04656597011081</v>
      </c>
      <c r="C493">
        <v>12</v>
      </c>
      <c r="D493" t="s">
        <v>19</v>
      </c>
      <c r="E493">
        <v>1</v>
      </c>
      <c r="F493" t="s">
        <v>100</v>
      </c>
      <c r="G493" t="s">
        <v>90</v>
      </c>
    </row>
    <row r="494" spans="1:7">
      <c r="A494">
        <v>2305.3333333333335</v>
      </c>
      <c r="B494">
        <v>270.82663581462299</v>
      </c>
      <c r="C494">
        <v>1</v>
      </c>
      <c r="D494" t="s">
        <v>18</v>
      </c>
      <c r="E494">
        <v>1</v>
      </c>
      <c r="F494" t="s">
        <v>100</v>
      </c>
      <c r="G494" t="s">
        <v>90</v>
      </c>
    </row>
    <row r="495" spans="1:7">
      <c r="A495">
        <v>3549.5</v>
      </c>
      <c r="B495">
        <v>706.73828253463103</v>
      </c>
      <c r="C495">
        <v>2</v>
      </c>
      <c r="D495" t="s">
        <v>18</v>
      </c>
      <c r="E495">
        <v>1</v>
      </c>
      <c r="F495" t="s">
        <v>100</v>
      </c>
      <c r="G495" t="s">
        <v>90</v>
      </c>
    </row>
    <row r="496" spans="1:7">
      <c r="A496">
        <v>1937</v>
      </c>
      <c r="B496">
        <v>470.66707979207553</v>
      </c>
      <c r="C496">
        <v>3</v>
      </c>
      <c r="D496" t="s">
        <v>18</v>
      </c>
      <c r="E496">
        <v>1</v>
      </c>
      <c r="F496" t="s">
        <v>100</v>
      </c>
      <c r="G496" t="s">
        <v>90</v>
      </c>
    </row>
    <row r="497" spans="1:7">
      <c r="A497">
        <v>2119.4</v>
      </c>
      <c r="B497">
        <v>628.59708876195077</v>
      </c>
      <c r="C497">
        <v>4</v>
      </c>
      <c r="D497" t="s">
        <v>18</v>
      </c>
      <c r="E497">
        <v>1</v>
      </c>
      <c r="F497" t="s">
        <v>100</v>
      </c>
      <c r="G497" t="s">
        <v>90</v>
      </c>
    </row>
    <row r="498" spans="1:7">
      <c r="A498">
        <v>2569</v>
      </c>
      <c r="B498">
        <v>272.86993238537661</v>
      </c>
      <c r="C498">
        <v>5</v>
      </c>
      <c r="D498" t="s">
        <v>18</v>
      </c>
      <c r="E498">
        <v>1</v>
      </c>
      <c r="F498" t="s">
        <v>100</v>
      </c>
      <c r="G498" t="s">
        <v>90</v>
      </c>
    </row>
    <row r="499" spans="1:7">
      <c r="A499">
        <v>3758.25</v>
      </c>
      <c r="B499">
        <v>555.11702970334704</v>
      </c>
      <c r="C499">
        <v>6</v>
      </c>
      <c r="D499" t="s">
        <v>18</v>
      </c>
      <c r="E499">
        <v>1</v>
      </c>
      <c r="F499" t="s">
        <v>100</v>
      </c>
      <c r="G499" t="s">
        <v>90</v>
      </c>
    </row>
    <row r="500" spans="1:7">
      <c r="A500">
        <v>9437.3333333333339</v>
      </c>
      <c r="B500">
        <v>1842.4661009997792</v>
      </c>
      <c r="C500">
        <v>7</v>
      </c>
      <c r="D500" t="s">
        <v>18</v>
      </c>
      <c r="E500">
        <v>1</v>
      </c>
      <c r="F500" t="s">
        <v>100</v>
      </c>
      <c r="G500" t="s">
        <v>90</v>
      </c>
    </row>
    <row r="501" spans="1:7">
      <c r="A501">
        <v>7531.833333333333</v>
      </c>
      <c r="B501">
        <v>1412.2225627239718</v>
      </c>
      <c r="C501">
        <v>8</v>
      </c>
      <c r="D501" t="s">
        <v>18</v>
      </c>
      <c r="E501">
        <v>1</v>
      </c>
      <c r="F501" t="s">
        <v>100</v>
      </c>
      <c r="G501" t="s">
        <v>90</v>
      </c>
    </row>
    <row r="502" spans="1:7">
      <c r="A502">
        <v>8641.375</v>
      </c>
      <c r="B502">
        <v>1314.1212096193519</v>
      </c>
      <c r="C502">
        <v>9</v>
      </c>
      <c r="D502" t="s">
        <v>18</v>
      </c>
      <c r="E502">
        <v>1</v>
      </c>
      <c r="F502" t="s">
        <v>100</v>
      </c>
      <c r="G502" t="s">
        <v>90</v>
      </c>
    </row>
    <row r="503" spans="1:7">
      <c r="A503">
        <v>6816.4</v>
      </c>
      <c r="B503">
        <v>1626.0594392579865</v>
      </c>
      <c r="C503">
        <v>10</v>
      </c>
      <c r="D503" t="s">
        <v>18</v>
      </c>
      <c r="E503">
        <v>1</v>
      </c>
      <c r="F503" t="s">
        <v>100</v>
      </c>
      <c r="G503" t="s">
        <v>90</v>
      </c>
    </row>
    <row r="504" spans="1:7">
      <c r="A504">
        <v>3788.6</v>
      </c>
      <c r="B504">
        <v>927.39597799429816</v>
      </c>
      <c r="C504">
        <v>11</v>
      </c>
      <c r="D504" t="s">
        <v>18</v>
      </c>
      <c r="E504">
        <v>1</v>
      </c>
      <c r="F504" t="s">
        <v>100</v>
      </c>
      <c r="G504" t="s">
        <v>90</v>
      </c>
    </row>
    <row r="505" spans="1:7">
      <c r="A505">
        <v>5294</v>
      </c>
      <c r="B505">
        <v>354.96760415564688</v>
      </c>
      <c r="C505">
        <v>12</v>
      </c>
      <c r="D505" t="s">
        <v>18</v>
      </c>
      <c r="E505">
        <v>1</v>
      </c>
      <c r="F505" t="s">
        <v>100</v>
      </c>
      <c r="G505" t="s">
        <v>90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opLeftCell="A13" zoomScale="75" zoomScaleNormal="75" zoomScalePageLayoutView="75" workbookViewId="0">
      <selection activeCell="A35" sqref="A35"/>
    </sheetView>
  </sheetViews>
  <sheetFormatPr baseColWidth="10" defaultRowHeight="15" x14ac:dyDescent="0"/>
  <cols>
    <col min="1" max="1" width="31.83203125" customWidth="1"/>
  </cols>
  <sheetData>
    <row r="1" spans="1:26">
      <c r="A1" t="s">
        <v>105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2562</v>
      </c>
      <c r="C2">
        <v>5075</v>
      </c>
      <c r="D2">
        <v>1589</v>
      </c>
      <c r="E2">
        <v>1299</v>
      </c>
      <c r="F2">
        <v>2011</v>
      </c>
      <c r="G2">
        <v>2795</v>
      </c>
      <c r="H2">
        <v>2905</v>
      </c>
      <c r="I2">
        <v>3706</v>
      </c>
      <c r="J2">
        <v>3580</v>
      </c>
      <c r="K2">
        <v>2511</v>
      </c>
      <c r="L2">
        <v>1991</v>
      </c>
      <c r="M2">
        <v>1534</v>
      </c>
      <c r="O2" s="3">
        <v>1892.89</v>
      </c>
      <c r="P2" s="3">
        <v>3418.3829999999998</v>
      </c>
      <c r="Q2" s="3">
        <v>2354.8270000000002</v>
      </c>
      <c r="R2" s="3">
        <v>1915.665</v>
      </c>
      <c r="S2" s="3">
        <v>1858.288</v>
      </c>
      <c r="T2" s="3">
        <v>5732.09</v>
      </c>
      <c r="U2" s="3">
        <v>7881.3649999999998</v>
      </c>
      <c r="V2" s="3">
        <v>7110.4319999999998</v>
      </c>
      <c r="W2" s="3">
        <v>9812.0429999999997</v>
      </c>
      <c r="X2" s="3">
        <v>11648.554</v>
      </c>
      <c r="Y2" s="3">
        <v>10300.906000000001</v>
      </c>
      <c r="Z2" s="3">
        <v>11640.808999999999</v>
      </c>
    </row>
    <row r="3" spans="1:26">
      <c r="B3">
        <v>2617</v>
      </c>
      <c r="C3">
        <v>3688</v>
      </c>
      <c r="D3">
        <v>1712</v>
      </c>
      <c r="E3">
        <v>1941</v>
      </c>
      <c r="F3">
        <v>2419</v>
      </c>
      <c r="G3">
        <v>2429</v>
      </c>
      <c r="H3">
        <v>4154</v>
      </c>
      <c r="I3">
        <v>3918</v>
      </c>
      <c r="J3">
        <v>3072</v>
      </c>
      <c r="K3">
        <v>3261</v>
      </c>
      <c r="L3">
        <v>1412</v>
      </c>
      <c r="M3">
        <v>1666</v>
      </c>
      <c r="O3" s="3">
        <v>2948.058</v>
      </c>
      <c r="P3" s="3">
        <v>3322.2310000000002</v>
      </c>
      <c r="Q3" s="3">
        <v>1886.3869999999999</v>
      </c>
      <c r="R3" s="3">
        <v>2795.076</v>
      </c>
      <c r="S3" s="3">
        <v>2819.924</v>
      </c>
      <c r="T3" s="3">
        <v>3925.3339999999998</v>
      </c>
      <c r="U3" s="3">
        <v>8263.8179999999993</v>
      </c>
      <c r="V3" s="3">
        <v>8897.3780000000006</v>
      </c>
      <c r="W3" s="3">
        <v>10995.385</v>
      </c>
      <c r="X3" s="3">
        <v>11557.198</v>
      </c>
      <c r="Y3" s="3">
        <v>12363.924999999999</v>
      </c>
      <c r="Z3" s="3">
        <v>8741.9429999999993</v>
      </c>
    </row>
    <row r="4" spans="1:26">
      <c r="B4">
        <v>1965</v>
      </c>
      <c r="C4">
        <v>5425</v>
      </c>
      <c r="D4">
        <v>1631</v>
      </c>
      <c r="E4">
        <v>1689</v>
      </c>
      <c r="F4">
        <v>1826</v>
      </c>
      <c r="G4">
        <v>1852</v>
      </c>
      <c r="H4">
        <v>3670</v>
      </c>
      <c r="I4">
        <v>3756</v>
      </c>
      <c r="J4">
        <v>4712</v>
      </c>
      <c r="K4">
        <v>2554</v>
      </c>
      <c r="L4">
        <v>1380</v>
      </c>
      <c r="M4">
        <v>1577</v>
      </c>
      <c r="O4" s="3">
        <v>2933.2469999999998</v>
      </c>
      <c r="P4" s="3">
        <v>3932.172</v>
      </c>
      <c r="Q4" s="3">
        <v>2610.7640000000001</v>
      </c>
      <c r="R4" s="3">
        <v>1909.914</v>
      </c>
      <c r="S4" s="3">
        <v>2305.8820000000001</v>
      </c>
      <c r="T4" s="3">
        <v>4882.8540000000003</v>
      </c>
      <c r="U4" s="3">
        <v>7171.91</v>
      </c>
      <c r="V4" s="3">
        <v>8546.1610000000001</v>
      </c>
      <c r="W4" s="3">
        <v>10755.703</v>
      </c>
      <c r="X4" s="3">
        <v>10917.974</v>
      </c>
      <c r="Y4" s="3">
        <v>10737.312</v>
      </c>
      <c r="Z4" s="3">
        <v>12066.713</v>
      </c>
    </row>
    <row r="5" spans="1:26">
      <c r="B5">
        <v>1848</v>
      </c>
      <c r="C5">
        <v>5907</v>
      </c>
      <c r="D5">
        <v>1483</v>
      </c>
      <c r="E5">
        <v>2353</v>
      </c>
      <c r="F5">
        <v>2079</v>
      </c>
      <c r="G5">
        <v>1970</v>
      </c>
      <c r="H5">
        <v>4677</v>
      </c>
      <c r="I5">
        <v>3792</v>
      </c>
      <c r="J5">
        <v>3155</v>
      </c>
      <c r="K5">
        <v>2023</v>
      </c>
      <c r="L5">
        <v>1528</v>
      </c>
      <c r="M5">
        <v>1302</v>
      </c>
      <c r="O5" s="3">
        <v>2150.5659999999998</v>
      </c>
      <c r="P5" s="3">
        <v>4381.2939999999999</v>
      </c>
      <c r="Q5" s="3">
        <v>2190.3809999999999</v>
      </c>
      <c r="R5" s="3">
        <v>2121.491</v>
      </c>
      <c r="S5" s="3">
        <v>1979.279</v>
      </c>
      <c r="T5" s="3">
        <v>6863.5659999999998</v>
      </c>
      <c r="U5" s="3">
        <v>5619.1570000000002</v>
      </c>
      <c r="V5" s="3">
        <v>7977.2330000000002</v>
      </c>
      <c r="W5" s="3">
        <v>9544.7819999999992</v>
      </c>
      <c r="X5" s="3">
        <v>12377.367</v>
      </c>
      <c r="Y5" s="3">
        <v>10085.752</v>
      </c>
      <c r="Z5" s="3">
        <v>9476.1880000000001</v>
      </c>
    </row>
    <row r="6" spans="1:26">
      <c r="B6">
        <v>2333</v>
      </c>
      <c r="C6">
        <v>3443</v>
      </c>
      <c r="E6">
        <v>2422</v>
      </c>
      <c r="F6">
        <v>1482</v>
      </c>
      <c r="G6">
        <v>2961</v>
      </c>
      <c r="H6">
        <v>3874</v>
      </c>
      <c r="I6">
        <v>4515</v>
      </c>
      <c r="J6">
        <v>3157</v>
      </c>
      <c r="K6">
        <v>3825</v>
      </c>
      <c r="L6">
        <v>1957</v>
      </c>
      <c r="M6">
        <v>1332</v>
      </c>
      <c r="O6" s="3">
        <v>2862.9630000000002</v>
      </c>
      <c r="P6" s="3">
        <v>3989.261</v>
      </c>
      <c r="Q6" s="3">
        <v>1953.52</v>
      </c>
      <c r="R6" s="3">
        <v>2168.5880000000002</v>
      </c>
      <c r="S6" s="3">
        <v>2394.1320000000001</v>
      </c>
      <c r="T6" s="3">
        <v>4011.7530000000002</v>
      </c>
      <c r="U6" s="3">
        <v>5706.6729999999998</v>
      </c>
      <c r="V6" s="3">
        <v>7946.174</v>
      </c>
      <c r="W6" s="3">
        <v>11020.269</v>
      </c>
      <c r="X6" s="3">
        <v>11074.169</v>
      </c>
      <c r="Y6" s="3">
        <v>10076.947</v>
      </c>
      <c r="Z6" s="3"/>
    </row>
    <row r="7" spans="1:26">
      <c r="B7">
        <v>1798</v>
      </c>
      <c r="C7">
        <v>4417</v>
      </c>
      <c r="E7">
        <v>2216</v>
      </c>
      <c r="F7">
        <v>1726</v>
      </c>
      <c r="G7">
        <v>3047</v>
      </c>
      <c r="H7">
        <v>3603</v>
      </c>
      <c r="I7">
        <v>3875</v>
      </c>
      <c r="J7">
        <v>2838</v>
      </c>
      <c r="K7">
        <v>3076</v>
      </c>
      <c r="L7">
        <v>2119</v>
      </c>
      <c r="M7">
        <v>1578</v>
      </c>
      <c r="O7" s="3"/>
      <c r="P7" s="3">
        <v>4189.2430000000004</v>
      </c>
      <c r="Q7" s="3"/>
      <c r="R7" s="3"/>
      <c r="S7" s="3"/>
      <c r="T7" s="3"/>
      <c r="U7" s="3">
        <v>5800.3119999999999</v>
      </c>
      <c r="V7" s="3">
        <v>7566.5209999999997</v>
      </c>
      <c r="W7" s="3">
        <v>10474.904</v>
      </c>
      <c r="X7" s="3">
        <v>10215.32</v>
      </c>
      <c r="Y7" s="3"/>
      <c r="Z7" s="3"/>
    </row>
    <row r="8" spans="1:26">
      <c r="B8">
        <v>3056</v>
      </c>
      <c r="C8">
        <v>4097</v>
      </c>
      <c r="E8">
        <v>1649</v>
      </c>
      <c r="F8">
        <v>2044</v>
      </c>
      <c r="G8">
        <v>2270</v>
      </c>
      <c r="H8">
        <v>4178</v>
      </c>
      <c r="I8">
        <v>3586</v>
      </c>
      <c r="J8">
        <v>3355</v>
      </c>
      <c r="K8">
        <v>3197</v>
      </c>
      <c r="L8">
        <v>2190</v>
      </c>
      <c r="M8">
        <v>1244</v>
      </c>
      <c r="O8" s="3"/>
      <c r="P8" s="3">
        <v>4761.4059999999999</v>
      </c>
      <c r="Q8" s="3"/>
      <c r="R8" s="3"/>
      <c r="S8" s="3"/>
      <c r="T8" s="3"/>
      <c r="U8" s="3">
        <v>7083.4440000000004</v>
      </c>
      <c r="V8" s="3">
        <v>7424.0749999999998</v>
      </c>
      <c r="W8" s="3">
        <v>9455.3819999999996</v>
      </c>
      <c r="X8" s="3">
        <v>12000.09</v>
      </c>
      <c r="Y8" s="3"/>
      <c r="Z8" s="3"/>
    </row>
    <row r="9" spans="1:26">
      <c r="B9">
        <v>2477</v>
      </c>
      <c r="F9">
        <v>1476</v>
      </c>
      <c r="G9">
        <v>1993</v>
      </c>
      <c r="H9">
        <v>3453</v>
      </c>
      <c r="I9">
        <v>5296</v>
      </c>
      <c r="J9">
        <v>2258</v>
      </c>
      <c r="K9">
        <v>3367</v>
      </c>
      <c r="L9">
        <v>2868</v>
      </c>
      <c r="M9">
        <v>1462</v>
      </c>
      <c r="O9" s="3"/>
      <c r="P9" s="3">
        <v>4812.4830000000002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G10">
        <v>2274</v>
      </c>
      <c r="H10">
        <v>3116</v>
      </c>
      <c r="I10">
        <v>4082</v>
      </c>
      <c r="J10">
        <v>3186</v>
      </c>
      <c r="K10">
        <v>2421</v>
      </c>
      <c r="L10">
        <v>1801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G11">
        <v>3024</v>
      </c>
      <c r="H11">
        <v>3761</v>
      </c>
      <c r="I11">
        <v>4247</v>
      </c>
      <c r="J11">
        <v>4219</v>
      </c>
      <c r="K11">
        <v>2924</v>
      </c>
      <c r="L11">
        <v>1871</v>
      </c>
    </row>
    <row r="12" spans="1:26">
      <c r="G12">
        <v>2915</v>
      </c>
      <c r="H12">
        <v>3727</v>
      </c>
      <c r="I12">
        <v>3247</v>
      </c>
      <c r="J12">
        <v>3647</v>
      </c>
      <c r="K12">
        <v>2864</v>
      </c>
    </row>
    <row r="13" spans="1:26">
      <c r="G13">
        <v>1819</v>
      </c>
      <c r="H13">
        <v>3769</v>
      </c>
      <c r="I13">
        <v>3866</v>
      </c>
      <c r="J13">
        <v>4209</v>
      </c>
    </row>
    <row r="14" spans="1:26">
      <c r="G14">
        <v>1699</v>
      </c>
      <c r="H14">
        <v>3891</v>
      </c>
      <c r="J14">
        <v>4085</v>
      </c>
    </row>
    <row r="15" spans="1:26">
      <c r="G15">
        <v>1453</v>
      </c>
      <c r="H15">
        <v>3909</v>
      </c>
      <c r="J15">
        <v>3862</v>
      </c>
    </row>
    <row r="16" spans="1:26">
      <c r="G16">
        <v>2981</v>
      </c>
      <c r="J16">
        <v>3893</v>
      </c>
    </row>
    <row r="17" spans="1:26">
      <c r="J17">
        <v>4180</v>
      </c>
    </row>
    <row r="18" spans="1:26">
      <c r="J18">
        <v>3407</v>
      </c>
    </row>
    <row r="21" spans="1:26">
      <c r="A21" t="s">
        <v>106</v>
      </c>
      <c r="B21">
        <v>239</v>
      </c>
      <c r="C21">
        <v>232</v>
      </c>
      <c r="D21">
        <v>204</v>
      </c>
      <c r="E21">
        <v>218</v>
      </c>
      <c r="F21">
        <v>408</v>
      </c>
      <c r="G21">
        <v>453</v>
      </c>
      <c r="H21">
        <v>513</v>
      </c>
      <c r="I21">
        <v>578</v>
      </c>
      <c r="J21">
        <v>557</v>
      </c>
      <c r="K21">
        <v>668</v>
      </c>
      <c r="L21">
        <v>783</v>
      </c>
      <c r="M21">
        <v>414</v>
      </c>
      <c r="O21">
        <v>213.423</v>
      </c>
      <c r="P21">
        <v>225.05799999999999</v>
      </c>
      <c r="Q21">
        <v>235.244</v>
      </c>
      <c r="R21">
        <v>198.40299999999999</v>
      </c>
      <c r="S21">
        <v>212.69900000000001</v>
      </c>
      <c r="T21">
        <v>234.44399999999999</v>
      </c>
      <c r="U21">
        <v>481.18599999999998</v>
      </c>
      <c r="V21">
        <v>837.67700000000002</v>
      </c>
      <c r="W21">
        <v>1010.855</v>
      </c>
      <c r="X21">
        <v>1373.9590000000001</v>
      </c>
      <c r="Y21">
        <v>1983.4949999999999</v>
      </c>
      <c r="Z21">
        <v>1610.471</v>
      </c>
    </row>
    <row r="22" spans="1:26">
      <c r="B22">
        <v>204</v>
      </c>
      <c r="C22">
        <v>187</v>
      </c>
      <c r="D22">
        <v>215</v>
      </c>
      <c r="E22">
        <v>215</v>
      </c>
      <c r="F22">
        <v>276</v>
      </c>
      <c r="G22">
        <v>368</v>
      </c>
      <c r="H22">
        <v>477</v>
      </c>
      <c r="I22">
        <v>414</v>
      </c>
      <c r="J22">
        <v>539</v>
      </c>
      <c r="K22">
        <v>645</v>
      </c>
      <c r="L22">
        <v>981</v>
      </c>
      <c r="M22">
        <v>699</v>
      </c>
      <c r="O22">
        <v>191.75800000000001</v>
      </c>
      <c r="P22">
        <v>188.87200000000001</v>
      </c>
      <c r="Q22">
        <v>226.25800000000001</v>
      </c>
      <c r="R22">
        <v>198.44300000000001</v>
      </c>
      <c r="S22">
        <v>259.75599999999997</v>
      </c>
      <c r="T22">
        <v>376.30099999999999</v>
      </c>
      <c r="U22">
        <v>492.73200000000003</v>
      </c>
      <c r="V22">
        <v>917.995</v>
      </c>
      <c r="W22">
        <v>855.83900000000006</v>
      </c>
      <c r="X22">
        <v>1524.6559999999999</v>
      </c>
      <c r="Y22">
        <v>1157.962</v>
      </c>
      <c r="Z22">
        <v>1520.2619999999999</v>
      </c>
    </row>
    <row r="23" spans="1:26">
      <c r="B23">
        <v>211</v>
      </c>
      <c r="C23">
        <v>200</v>
      </c>
      <c r="D23">
        <v>205</v>
      </c>
      <c r="E23">
        <v>199</v>
      </c>
      <c r="F23">
        <v>404</v>
      </c>
      <c r="G23">
        <v>457</v>
      </c>
      <c r="H23">
        <v>454</v>
      </c>
      <c r="I23">
        <v>638</v>
      </c>
      <c r="J23">
        <v>572</v>
      </c>
      <c r="K23">
        <v>558</v>
      </c>
      <c r="L23">
        <v>499</v>
      </c>
      <c r="M23">
        <v>644</v>
      </c>
      <c r="O23">
        <v>224.911</v>
      </c>
      <c r="P23">
        <v>223.72499999999999</v>
      </c>
      <c r="Q23">
        <v>195.21299999999999</v>
      </c>
      <c r="R23">
        <v>189.82</v>
      </c>
      <c r="S23">
        <v>260.75900000000001</v>
      </c>
      <c r="T23">
        <v>354.678</v>
      </c>
      <c r="U23">
        <v>421.45</v>
      </c>
      <c r="V23">
        <v>865.69799999999998</v>
      </c>
      <c r="W23">
        <v>901.59799999999996</v>
      </c>
      <c r="X23">
        <v>1255.3610000000001</v>
      </c>
      <c r="Y23">
        <v>1971.384</v>
      </c>
    </row>
    <row r="24" spans="1:26">
      <c r="F24">
        <v>396</v>
      </c>
      <c r="G24">
        <v>396</v>
      </c>
      <c r="H24">
        <v>368</v>
      </c>
      <c r="I24">
        <v>649</v>
      </c>
      <c r="J24">
        <v>645</v>
      </c>
      <c r="K24">
        <v>893</v>
      </c>
      <c r="L24">
        <v>939</v>
      </c>
      <c r="M24">
        <v>699</v>
      </c>
      <c r="W24">
        <v>659.16099999999994</v>
      </c>
      <c r="Y24">
        <v>2187.127</v>
      </c>
    </row>
    <row r="25" spans="1:26">
      <c r="F25">
        <v>261</v>
      </c>
      <c r="G25">
        <v>481</v>
      </c>
      <c r="H25">
        <v>666</v>
      </c>
      <c r="I25">
        <v>675</v>
      </c>
      <c r="J25">
        <v>581</v>
      </c>
      <c r="K25">
        <v>815</v>
      </c>
      <c r="L25">
        <v>548</v>
      </c>
      <c r="M25">
        <v>478</v>
      </c>
    </row>
    <row r="26" spans="1:26">
      <c r="G26">
        <v>516</v>
      </c>
      <c r="H26">
        <v>461</v>
      </c>
      <c r="I26">
        <v>535</v>
      </c>
      <c r="J26">
        <v>804</v>
      </c>
      <c r="K26">
        <v>641</v>
      </c>
      <c r="L26">
        <v>726</v>
      </c>
    </row>
    <row r="27" spans="1:26">
      <c r="H27">
        <v>653</v>
      </c>
      <c r="I27">
        <v>679</v>
      </c>
      <c r="J27">
        <v>513</v>
      </c>
      <c r="K27">
        <v>863</v>
      </c>
    </row>
    <row r="28" spans="1:26">
      <c r="I28">
        <v>664</v>
      </c>
      <c r="J28">
        <v>773</v>
      </c>
      <c r="K28">
        <v>856</v>
      </c>
    </row>
    <row r="29" spans="1:26">
      <c r="J29">
        <v>890</v>
      </c>
      <c r="K29">
        <v>627</v>
      </c>
    </row>
    <row r="30" spans="1:26">
      <c r="J30">
        <v>663</v>
      </c>
      <c r="K30">
        <v>783</v>
      </c>
    </row>
    <row r="31" spans="1:26">
      <c r="K31">
        <v>718</v>
      </c>
    </row>
    <row r="32" spans="1:26">
      <c r="K32">
        <v>704</v>
      </c>
    </row>
    <row r="33" spans="1:26">
      <c r="K33">
        <v>745</v>
      </c>
    </row>
    <row r="35" spans="1:26" s="5" customFormat="1">
      <c r="A35" s="5" t="s">
        <v>110</v>
      </c>
      <c r="B35" s="5">
        <f>AVERAGE(B21:B33)</f>
        <v>218</v>
      </c>
      <c r="C35" s="5">
        <f t="shared" ref="C35:Z35" si="0">AVERAGE(C21:C33)</f>
        <v>206.33333333333334</v>
      </c>
      <c r="D35" s="5">
        <f t="shared" si="0"/>
        <v>208</v>
      </c>
      <c r="E35" s="5">
        <f t="shared" si="0"/>
        <v>210.66666666666666</v>
      </c>
      <c r="F35" s="5">
        <f t="shared" si="0"/>
        <v>349</v>
      </c>
      <c r="G35" s="5">
        <f t="shared" si="0"/>
        <v>445.16666666666669</v>
      </c>
      <c r="H35" s="5">
        <f t="shared" si="0"/>
        <v>513.14285714285711</v>
      </c>
      <c r="I35" s="5">
        <f t="shared" si="0"/>
        <v>604</v>
      </c>
      <c r="J35" s="5">
        <f t="shared" si="0"/>
        <v>653.70000000000005</v>
      </c>
      <c r="K35" s="5">
        <f t="shared" si="0"/>
        <v>732</v>
      </c>
      <c r="L35" s="5">
        <f t="shared" si="0"/>
        <v>746</v>
      </c>
      <c r="M35" s="5">
        <f t="shared" si="0"/>
        <v>586.79999999999995</v>
      </c>
      <c r="O35" s="5">
        <f t="shared" si="0"/>
        <v>210.03066666666669</v>
      </c>
      <c r="P35" s="5">
        <f t="shared" si="0"/>
        <v>212.55166666666665</v>
      </c>
      <c r="Q35" s="5">
        <f t="shared" si="0"/>
        <v>218.905</v>
      </c>
      <c r="R35" s="5">
        <f t="shared" si="0"/>
        <v>195.55533333333332</v>
      </c>
      <c r="S35" s="5">
        <f t="shared" si="0"/>
        <v>244.40466666666666</v>
      </c>
      <c r="T35" s="5">
        <f t="shared" si="0"/>
        <v>321.80766666666665</v>
      </c>
      <c r="U35" s="5">
        <f t="shared" si="0"/>
        <v>465.12266666666665</v>
      </c>
      <c r="V35" s="5">
        <f t="shared" si="0"/>
        <v>873.79</v>
      </c>
      <c r="W35" s="5">
        <f t="shared" si="0"/>
        <v>856.86324999999999</v>
      </c>
      <c r="X35" s="5">
        <f t="shared" si="0"/>
        <v>1384.6586666666665</v>
      </c>
      <c r="Y35" s="5">
        <f t="shared" si="0"/>
        <v>1824.9920000000002</v>
      </c>
      <c r="Z35" s="5">
        <f t="shared" si="0"/>
        <v>1565.3665000000001</v>
      </c>
    </row>
    <row r="38" spans="1:26">
      <c r="A38" t="s">
        <v>107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48</v>
      </c>
      <c r="P38" t="s">
        <v>49</v>
      </c>
      <c r="Q38" t="s">
        <v>50</v>
      </c>
      <c r="R38" t="s">
        <v>51</v>
      </c>
      <c r="S38" t="s">
        <v>52</v>
      </c>
      <c r="T38" t="s">
        <v>53</v>
      </c>
      <c r="U38" t="s">
        <v>54</v>
      </c>
      <c r="V38" t="s">
        <v>55</v>
      </c>
      <c r="W38" t="s">
        <v>56</v>
      </c>
      <c r="X38" t="s">
        <v>57</v>
      </c>
      <c r="Y38" t="s">
        <v>58</v>
      </c>
      <c r="Z38" t="s">
        <v>59</v>
      </c>
    </row>
    <row r="39" spans="1:26">
      <c r="B39">
        <f>B2-218</f>
        <v>2344</v>
      </c>
      <c r="C39">
        <f>C2-206</f>
        <v>4869</v>
      </c>
      <c r="D39">
        <f>D2-208</f>
        <v>1381</v>
      </c>
      <c r="E39">
        <f>E2-211</f>
        <v>1088</v>
      </c>
      <c r="F39">
        <f>F2-349</f>
        <v>1662</v>
      </c>
      <c r="G39">
        <f>G2-445</f>
        <v>2350</v>
      </c>
      <c r="H39">
        <f>H2-513</f>
        <v>2392</v>
      </c>
      <c r="I39">
        <f>I2-604</f>
        <v>3102</v>
      </c>
      <c r="J39">
        <f>J2-653</f>
        <v>2927</v>
      </c>
      <c r="K39">
        <f>K2-732</f>
        <v>1779</v>
      </c>
      <c r="L39">
        <f>L2-746</f>
        <v>1245</v>
      </c>
      <c r="M39">
        <f>M2-587</f>
        <v>947</v>
      </c>
      <c r="O39">
        <f>O2-210</f>
        <v>1682.89</v>
      </c>
      <c r="P39">
        <f>P2-213</f>
        <v>3205.3829999999998</v>
      </c>
      <c r="Q39">
        <f>Q2-219</f>
        <v>2135.8270000000002</v>
      </c>
      <c r="R39">
        <f>R2-196</f>
        <v>1719.665</v>
      </c>
      <c r="S39">
        <f>S2-244</f>
        <v>1614.288</v>
      </c>
      <c r="T39">
        <f>T2-322</f>
        <v>5410.09</v>
      </c>
      <c r="U39">
        <f>U2-465</f>
        <v>7416.3649999999998</v>
      </c>
      <c r="V39">
        <f>V2-874</f>
        <v>6236.4319999999998</v>
      </c>
      <c r="W39">
        <f>W2-857</f>
        <v>8955.0429999999997</v>
      </c>
      <c r="X39">
        <f>X2-1385</f>
        <v>10263.554</v>
      </c>
      <c r="Y39">
        <f>Y2-1825</f>
        <v>8475.9060000000009</v>
      </c>
      <c r="Z39">
        <f>Z2-1565</f>
        <v>10075.808999999999</v>
      </c>
    </row>
    <row r="40" spans="1:26">
      <c r="B40">
        <f t="shared" ref="B40:B46" si="1">B3-218</f>
        <v>2399</v>
      </c>
      <c r="C40">
        <f t="shared" ref="C40:C45" si="2">C3-206</f>
        <v>3482</v>
      </c>
      <c r="D40">
        <f t="shared" ref="D40:D42" si="3">D3-208</f>
        <v>1504</v>
      </c>
      <c r="E40">
        <f t="shared" ref="E40:E45" si="4">E3-211</f>
        <v>1730</v>
      </c>
      <c r="F40">
        <f t="shared" ref="F40:F46" si="5">F3-349</f>
        <v>2070</v>
      </c>
      <c r="G40">
        <f t="shared" ref="G40:G53" si="6">G3-445</f>
        <v>1984</v>
      </c>
      <c r="H40">
        <f t="shared" ref="H40:H51" si="7">H3-513</f>
        <v>3641</v>
      </c>
      <c r="I40">
        <f t="shared" ref="I40:I50" si="8">I3-604</f>
        <v>3314</v>
      </c>
      <c r="J40">
        <f t="shared" ref="J40:J55" si="9">J3-653</f>
        <v>2419</v>
      </c>
      <c r="K40">
        <f t="shared" ref="K40:K49" si="10">K3-732</f>
        <v>2529</v>
      </c>
      <c r="L40">
        <f t="shared" ref="L40:L48" si="11">L3-746</f>
        <v>666</v>
      </c>
      <c r="M40">
        <f t="shared" ref="M40:M46" si="12">M3-587</f>
        <v>1079</v>
      </c>
      <c r="O40">
        <f t="shared" ref="O40:O43" si="13">O3-210</f>
        <v>2738.058</v>
      </c>
      <c r="P40">
        <f t="shared" ref="P40:P46" si="14">P3-213</f>
        <v>3109.2310000000002</v>
      </c>
      <c r="Q40">
        <f t="shared" ref="Q40:Q43" si="15">Q3-219</f>
        <v>1667.3869999999999</v>
      </c>
      <c r="R40">
        <f t="shared" ref="R40:R43" si="16">R3-196</f>
        <v>2599.076</v>
      </c>
      <c r="S40">
        <f t="shared" ref="S40:S43" si="17">S3-244</f>
        <v>2575.924</v>
      </c>
      <c r="T40">
        <f t="shared" ref="T40:T43" si="18">T3-322</f>
        <v>3603.3339999999998</v>
      </c>
      <c r="U40">
        <f t="shared" ref="U40:U45" si="19">U3-465</f>
        <v>7798.8179999999993</v>
      </c>
      <c r="V40">
        <f t="shared" ref="V40:V45" si="20">V3-874</f>
        <v>8023.3780000000006</v>
      </c>
      <c r="W40">
        <f t="shared" ref="W40:W45" si="21">W3-857</f>
        <v>10138.385</v>
      </c>
      <c r="X40">
        <f t="shared" ref="X40:X45" si="22">X3-1385</f>
        <v>10172.198</v>
      </c>
      <c r="Y40">
        <f t="shared" ref="Y40:Y43" si="23">Y3-1825</f>
        <v>10538.924999999999</v>
      </c>
      <c r="Z40">
        <f t="shared" ref="Z40:Z42" si="24">Z3-1565</f>
        <v>7176.9429999999993</v>
      </c>
    </row>
    <row r="41" spans="1:26">
      <c r="B41">
        <f t="shared" si="1"/>
        <v>1747</v>
      </c>
      <c r="C41">
        <f t="shared" si="2"/>
        <v>5219</v>
      </c>
      <c r="D41">
        <f t="shared" si="3"/>
        <v>1423</v>
      </c>
      <c r="E41">
        <f t="shared" si="4"/>
        <v>1478</v>
      </c>
      <c r="F41">
        <f t="shared" si="5"/>
        <v>1477</v>
      </c>
      <c r="G41">
        <f t="shared" si="6"/>
        <v>1407</v>
      </c>
      <c r="H41">
        <f t="shared" si="7"/>
        <v>3157</v>
      </c>
      <c r="I41">
        <f t="shared" si="8"/>
        <v>3152</v>
      </c>
      <c r="J41">
        <f t="shared" si="9"/>
        <v>4059</v>
      </c>
      <c r="K41">
        <f t="shared" si="10"/>
        <v>1822</v>
      </c>
      <c r="L41">
        <f t="shared" si="11"/>
        <v>634</v>
      </c>
      <c r="M41">
        <f t="shared" si="12"/>
        <v>990</v>
      </c>
      <c r="O41">
        <f t="shared" si="13"/>
        <v>2723.2469999999998</v>
      </c>
      <c r="P41">
        <f t="shared" si="14"/>
        <v>3719.172</v>
      </c>
      <c r="Q41">
        <f t="shared" si="15"/>
        <v>2391.7640000000001</v>
      </c>
      <c r="R41">
        <f t="shared" si="16"/>
        <v>1713.914</v>
      </c>
      <c r="S41">
        <f t="shared" si="17"/>
        <v>2061.8820000000001</v>
      </c>
      <c r="T41">
        <f t="shared" si="18"/>
        <v>4560.8540000000003</v>
      </c>
      <c r="U41">
        <f t="shared" si="19"/>
        <v>6706.91</v>
      </c>
      <c r="V41">
        <f t="shared" si="20"/>
        <v>7672.1610000000001</v>
      </c>
      <c r="W41">
        <f t="shared" si="21"/>
        <v>9898.7029999999995</v>
      </c>
      <c r="X41">
        <f t="shared" si="22"/>
        <v>9532.9740000000002</v>
      </c>
      <c r="Y41">
        <f t="shared" si="23"/>
        <v>8912.3119999999999</v>
      </c>
      <c r="Z41">
        <f t="shared" si="24"/>
        <v>10501.713</v>
      </c>
    </row>
    <row r="42" spans="1:26">
      <c r="B42">
        <f t="shared" si="1"/>
        <v>1630</v>
      </c>
      <c r="C42">
        <f t="shared" si="2"/>
        <v>5701</v>
      </c>
      <c r="D42">
        <f t="shared" si="3"/>
        <v>1275</v>
      </c>
      <c r="E42">
        <f t="shared" si="4"/>
        <v>2142</v>
      </c>
      <c r="F42">
        <f t="shared" si="5"/>
        <v>1730</v>
      </c>
      <c r="G42">
        <f t="shared" si="6"/>
        <v>1525</v>
      </c>
      <c r="H42">
        <f t="shared" si="7"/>
        <v>4164</v>
      </c>
      <c r="I42">
        <f t="shared" si="8"/>
        <v>3188</v>
      </c>
      <c r="J42">
        <f t="shared" si="9"/>
        <v>2502</v>
      </c>
      <c r="K42">
        <f t="shared" si="10"/>
        <v>1291</v>
      </c>
      <c r="L42">
        <f t="shared" si="11"/>
        <v>782</v>
      </c>
      <c r="M42">
        <f t="shared" si="12"/>
        <v>715</v>
      </c>
      <c r="O42">
        <f t="shared" si="13"/>
        <v>1940.5659999999998</v>
      </c>
      <c r="P42">
        <f t="shared" si="14"/>
        <v>4168.2939999999999</v>
      </c>
      <c r="Q42">
        <f t="shared" si="15"/>
        <v>1971.3809999999999</v>
      </c>
      <c r="R42">
        <f t="shared" si="16"/>
        <v>1925.491</v>
      </c>
      <c r="S42">
        <f t="shared" si="17"/>
        <v>1735.279</v>
      </c>
      <c r="T42">
        <f t="shared" si="18"/>
        <v>6541.5659999999998</v>
      </c>
      <c r="U42">
        <f t="shared" si="19"/>
        <v>5154.1570000000002</v>
      </c>
      <c r="V42">
        <f t="shared" si="20"/>
        <v>7103.2330000000002</v>
      </c>
      <c r="W42">
        <f t="shared" si="21"/>
        <v>8687.7819999999992</v>
      </c>
      <c r="X42">
        <f t="shared" si="22"/>
        <v>10992.367</v>
      </c>
      <c r="Y42">
        <f t="shared" si="23"/>
        <v>8260.7520000000004</v>
      </c>
      <c r="Z42">
        <f t="shared" si="24"/>
        <v>7911.1880000000001</v>
      </c>
    </row>
    <row r="43" spans="1:26">
      <c r="B43">
        <f t="shared" si="1"/>
        <v>2115</v>
      </c>
      <c r="C43">
        <f t="shared" si="2"/>
        <v>3237</v>
      </c>
      <c r="E43">
        <f t="shared" si="4"/>
        <v>2211</v>
      </c>
      <c r="F43">
        <f t="shared" si="5"/>
        <v>1133</v>
      </c>
      <c r="G43">
        <f t="shared" si="6"/>
        <v>2516</v>
      </c>
      <c r="H43">
        <f t="shared" si="7"/>
        <v>3361</v>
      </c>
      <c r="I43">
        <f t="shared" si="8"/>
        <v>3911</v>
      </c>
      <c r="J43">
        <f t="shared" si="9"/>
        <v>2504</v>
      </c>
      <c r="K43">
        <f t="shared" si="10"/>
        <v>3093</v>
      </c>
      <c r="L43">
        <f t="shared" si="11"/>
        <v>1211</v>
      </c>
      <c r="M43">
        <f t="shared" si="12"/>
        <v>745</v>
      </c>
      <c r="O43">
        <f t="shared" si="13"/>
        <v>2652.9630000000002</v>
      </c>
      <c r="P43">
        <f t="shared" si="14"/>
        <v>3776.261</v>
      </c>
      <c r="Q43">
        <f t="shared" si="15"/>
        <v>1734.52</v>
      </c>
      <c r="R43">
        <f t="shared" si="16"/>
        <v>1972.5880000000002</v>
      </c>
      <c r="S43">
        <f t="shared" si="17"/>
        <v>2150.1320000000001</v>
      </c>
      <c r="T43">
        <f t="shared" si="18"/>
        <v>3689.7530000000002</v>
      </c>
      <c r="U43">
        <f t="shared" si="19"/>
        <v>5241.6729999999998</v>
      </c>
      <c r="V43">
        <f t="shared" si="20"/>
        <v>7072.174</v>
      </c>
      <c r="W43">
        <f t="shared" si="21"/>
        <v>10163.269</v>
      </c>
      <c r="X43">
        <f t="shared" si="22"/>
        <v>9689.1689999999999</v>
      </c>
      <c r="Y43">
        <f t="shared" si="23"/>
        <v>8251.9470000000001</v>
      </c>
    </row>
    <row r="44" spans="1:26">
      <c r="B44">
        <f t="shared" si="1"/>
        <v>1580</v>
      </c>
      <c r="C44">
        <f t="shared" si="2"/>
        <v>4211</v>
      </c>
      <c r="E44">
        <f t="shared" si="4"/>
        <v>2005</v>
      </c>
      <c r="F44">
        <f t="shared" si="5"/>
        <v>1377</v>
      </c>
      <c r="G44">
        <f t="shared" si="6"/>
        <v>2602</v>
      </c>
      <c r="H44">
        <f t="shared" si="7"/>
        <v>3090</v>
      </c>
      <c r="I44">
        <f t="shared" si="8"/>
        <v>3271</v>
      </c>
      <c r="J44">
        <f t="shared" si="9"/>
        <v>2185</v>
      </c>
      <c r="K44">
        <f t="shared" si="10"/>
        <v>2344</v>
      </c>
      <c r="L44">
        <f t="shared" si="11"/>
        <v>1373</v>
      </c>
      <c r="M44">
        <f t="shared" si="12"/>
        <v>991</v>
      </c>
      <c r="P44">
        <f t="shared" si="14"/>
        <v>3976.2430000000004</v>
      </c>
      <c r="U44">
        <f t="shared" si="19"/>
        <v>5335.3119999999999</v>
      </c>
      <c r="V44">
        <f t="shared" si="20"/>
        <v>6692.5209999999997</v>
      </c>
      <c r="W44">
        <f t="shared" si="21"/>
        <v>9617.9040000000005</v>
      </c>
      <c r="X44">
        <f t="shared" si="22"/>
        <v>8830.32</v>
      </c>
    </row>
    <row r="45" spans="1:26">
      <c r="B45">
        <f t="shared" si="1"/>
        <v>2838</v>
      </c>
      <c r="C45">
        <f t="shared" si="2"/>
        <v>3891</v>
      </c>
      <c r="E45">
        <f t="shared" si="4"/>
        <v>1438</v>
      </c>
      <c r="F45">
        <f t="shared" si="5"/>
        <v>1695</v>
      </c>
      <c r="G45">
        <f t="shared" si="6"/>
        <v>1825</v>
      </c>
      <c r="H45">
        <f t="shared" si="7"/>
        <v>3665</v>
      </c>
      <c r="I45">
        <f t="shared" si="8"/>
        <v>2982</v>
      </c>
      <c r="J45">
        <f t="shared" si="9"/>
        <v>2702</v>
      </c>
      <c r="K45">
        <f t="shared" si="10"/>
        <v>2465</v>
      </c>
      <c r="L45">
        <f t="shared" si="11"/>
        <v>1444</v>
      </c>
      <c r="M45">
        <f t="shared" si="12"/>
        <v>657</v>
      </c>
      <c r="P45">
        <f t="shared" si="14"/>
        <v>4548.4059999999999</v>
      </c>
      <c r="U45">
        <f t="shared" si="19"/>
        <v>6618.4440000000004</v>
      </c>
      <c r="V45">
        <f t="shared" si="20"/>
        <v>6550.0749999999998</v>
      </c>
      <c r="W45">
        <f t="shared" si="21"/>
        <v>8598.3819999999996</v>
      </c>
      <c r="X45">
        <f t="shared" si="22"/>
        <v>10615.09</v>
      </c>
    </row>
    <row r="46" spans="1:26">
      <c r="B46">
        <f t="shared" si="1"/>
        <v>2259</v>
      </c>
      <c r="F46">
        <f t="shared" si="5"/>
        <v>1127</v>
      </c>
      <c r="G46">
        <f t="shared" si="6"/>
        <v>1548</v>
      </c>
      <c r="H46">
        <f t="shared" si="7"/>
        <v>2940</v>
      </c>
      <c r="I46">
        <f t="shared" si="8"/>
        <v>4692</v>
      </c>
      <c r="J46">
        <f t="shared" si="9"/>
        <v>1605</v>
      </c>
      <c r="K46">
        <f t="shared" si="10"/>
        <v>2635</v>
      </c>
      <c r="L46">
        <f t="shared" si="11"/>
        <v>2122</v>
      </c>
      <c r="M46">
        <f t="shared" si="12"/>
        <v>875</v>
      </c>
      <c r="P46">
        <f t="shared" si="14"/>
        <v>4599.4830000000002</v>
      </c>
    </row>
    <row r="47" spans="1:26">
      <c r="G47">
        <f t="shared" si="6"/>
        <v>1829</v>
      </c>
      <c r="H47">
        <f t="shared" si="7"/>
        <v>2603</v>
      </c>
      <c r="I47">
        <f t="shared" si="8"/>
        <v>3478</v>
      </c>
      <c r="J47">
        <f t="shared" si="9"/>
        <v>2533</v>
      </c>
      <c r="K47">
        <f t="shared" si="10"/>
        <v>1689</v>
      </c>
      <c r="L47">
        <f t="shared" si="11"/>
        <v>1055</v>
      </c>
    </row>
    <row r="48" spans="1:26">
      <c r="G48">
        <f t="shared" si="6"/>
        <v>2579</v>
      </c>
      <c r="H48">
        <f t="shared" si="7"/>
        <v>3248</v>
      </c>
      <c r="I48">
        <f t="shared" si="8"/>
        <v>3643</v>
      </c>
      <c r="J48">
        <f t="shared" si="9"/>
        <v>3566</v>
      </c>
      <c r="K48">
        <f t="shared" si="10"/>
        <v>2192</v>
      </c>
      <c r="L48">
        <f t="shared" si="11"/>
        <v>1125</v>
      </c>
    </row>
    <row r="49" spans="1:26">
      <c r="G49">
        <f t="shared" si="6"/>
        <v>2470</v>
      </c>
      <c r="H49">
        <f t="shared" si="7"/>
        <v>3214</v>
      </c>
      <c r="I49">
        <f t="shared" si="8"/>
        <v>2643</v>
      </c>
      <c r="J49">
        <f t="shared" si="9"/>
        <v>2994</v>
      </c>
      <c r="K49">
        <f t="shared" si="10"/>
        <v>2132</v>
      </c>
    </row>
    <row r="50" spans="1:26">
      <c r="G50">
        <f t="shared" si="6"/>
        <v>1374</v>
      </c>
      <c r="H50">
        <f t="shared" si="7"/>
        <v>3256</v>
      </c>
      <c r="I50">
        <f t="shared" si="8"/>
        <v>3262</v>
      </c>
      <c r="J50">
        <f t="shared" si="9"/>
        <v>3556</v>
      </c>
    </row>
    <row r="51" spans="1:26">
      <c r="G51">
        <f t="shared" si="6"/>
        <v>1254</v>
      </c>
      <c r="H51">
        <f t="shared" si="7"/>
        <v>3378</v>
      </c>
      <c r="J51">
        <f t="shared" si="9"/>
        <v>3432</v>
      </c>
    </row>
    <row r="52" spans="1:26">
      <c r="G52">
        <f t="shared" si="6"/>
        <v>1008</v>
      </c>
      <c r="H52">
        <f>H15-513</f>
        <v>3396</v>
      </c>
      <c r="J52">
        <f t="shared" si="9"/>
        <v>3209</v>
      </c>
    </row>
    <row r="53" spans="1:26">
      <c r="G53">
        <f t="shared" si="6"/>
        <v>2536</v>
      </c>
      <c r="J53">
        <f t="shared" si="9"/>
        <v>3240</v>
      </c>
    </row>
    <row r="54" spans="1:26">
      <c r="J54">
        <f t="shared" si="9"/>
        <v>3527</v>
      </c>
    </row>
    <row r="55" spans="1:26">
      <c r="J55">
        <f t="shared" si="9"/>
        <v>2754</v>
      </c>
    </row>
    <row r="58" spans="1:26">
      <c r="A58" t="s">
        <v>12</v>
      </c>
      <c r="B58">
        <f>AVERAGE(B39:B52)</f>
        <v>2114</v>
      </c>
      <c r="C58">
        <f>AVERAGE(C39:C52)</f>
        <v>4372.8571428571431</v>
      </c>
      <c r="D58">
        <f>AVERAGE(D39:D52)</f>
        <v>1395.75</v>
      </c>
      <c r="E58">
        <f>AVERAGE(E39:E52)</f>
        <v>1727.4285714285713</v>
      </c>
      <c r="F58">
        <f>AVERAGE(F39:F52)</f>
        <v>1533.875</v>
      </c>
      <c r="G58">
        <f>AVERAGE(G39:G55)</f>
        <v>1920.4666666666667</v>
      </c>
      <c r="H58">
        <f>AVERAGE(H39:H52)</f>
        <v>3250.3571428571427</v>
      </c>
      <c r="I58">
        <f>AVERAGE(I39:I52)</f>
        <v>3386.5</v>
      </c>
      <c r="J58">
        <f>AVERAGE(J39:J55)</f>
        <v>2924.3529411764707</v>
      </c>
      <c r="K58">
        <f>AVERAGE(K39:K52)</f>
        <v>2179.181818181818</v>
      </c>
      <c r="L58">
        <f>AVERAGE(L39:L52)</f>
        <v>1165.7</v>
      </c>
      <c r="M58">
        <f>AVERAGE(M39:M52)</f>
        <v>874.875</v>
      </c>
      <c r="O58">
        <f t="shared" ref="O58:Z58" si="25">AVERAGE(O39:O52)</f>
        <v>2347.5447999999997</v>
      </c>
      <c r="P58">
        <f t="shared" si="25"/>
        <v>3887.8091250000002</v>
      </c>
      <c r="Q58">
        <f t="shared" si="25"/>
        <v>1980.1758000000002</v>
      </c>
      <c r="R58">
        <f t="shared" si="25"/>
        <v>1986.1468</v>
      </c>
      <c r="S58">
        <f t="shared" si="25"/>
        <v>2027.5009999999997</v>
      </c>
      <c r="T58">
        <f t="shared" si="25"/>
        <v>4761.1193999999996</v>
      </c>
      <c r="U58">
        <f t="shared" si="25"/>
        <v>6324.5255714285722</v>
      </c>
      <c r="V58">
        <f t="shared" si="25"/>
        <v>7049.9962857142864</v>
      </c>
      <c r="W58">
        <f t="shared" si="25"/>
        <v>9437.0668571428578</v>
      </c>
      <c r="X58">
        <f t="shared" si="25"/>
        <v>10013.667428571429</v>
      </c>
      <c r="Y58">
        <f t="shared" si="25"/>
        <v>8887.9683999999997</v>
      </c>
      <c r="Z58">
        <f t="shared" si="25"/>
        <v>8916.4132499999996</v>
      </c>
    </row>
    <row r="59" spans="1:26">
      <c r="A59" t="s">
        <v>13</v>
      </c>
      <c r="B59">
        <f>STDEV(B39:B52)</f>
        <v>436.4512736671922</v>
      </c>
      <c r="C59">
        <f>STDEV(C39:C52)</f>
        <v>919.08114051869313</v>
      </c>
      <c r="D59">
        <f>STDEV(D39:D52)</f>
        <v>95.321823314496029</v>
      </c>
      <c r="E59">
        <f>STDEV(E39:E52)</f>
        <v>415.85568696478362</v>
      </c>
      <c r="F59">
        <f>STDEV(F39:F52)</f>
        <v>321.23975803573433</v>
      </c>
      <c r="G59">
        <f>STDEV(G39:G55)</f>
        <v>552.51824361174681</v>
      </c>
      <c r="H59">
        <f>STDEV(H39:H52)</f>
        <v>438.2639891387646</v>
      </c>
      <c r="I59">
        <f>STDEV(I39:I52)</f>
        <v>520.44011095505414</v>
      </c>
      <c r="J59">
        <f>STDEV(J39:J55)</f>
        <v>614.10147178382442</v>
      </c>
      <c r="K59">
        <f>STDEV(K39:K52)</f>
        <v>509.24685923073037</v>
      </c>
      <c r="L59">
        <f>STDEV(L39:L52)</f>
        <v>439.29439635245365</v>
      </c>
      <c r="M59">
        <f>STDEV(M39:M52)</f>
        <v>152.83271667321199</v>
      </c>
      <c r="O59">
        <f t="shared" ref="O59:Z59" si="26">STDEV(O39:O52)</f>
        <v>498.58066703463498</v>
      </c>
      <c r="P59">
        <f t="shared" si="26"/>
        <v>553.18958619199088</v>
      </c>
      <c r="Q59">
        <f t="shared" si="26"/>
        <v>296.6028895791444</v>
      </c>
      <c r="R59">
        <f t="shared" si="26"/>
        <v>362.16999408799597</v>
      </c>
      <c r="S59">
        <f t="shared" si="26"/>
        <v>378.52572003233831</v>
      </c>
      <c r="T59">
        <f t="shared" si="26"/>
        <v>1236.8864298163376</v>
      </c>
      <c r="U59">
        <f t="shared" si="26"/>
        <v>1089.2759958591464</v>
      </c>
      <c r="V59">
        <f t="shared" si="26"/>
        <v>629.48174595766091</v>
      </c>
      <c r="W59">
        <f t="shared" si="26"/>
        <v>678.50249029497058</v>
      </c>
      <c r="X59">
        <f t="shared" si="26"/>
        <v>723.85700018715897</v>
      </c>
      <c r="Y59">
        <f t="shared" si="26"/>
        <v>960.9850884802006</v>
      </c>
      <c r="Z59">
        <f t="shared" si="26"/>
        <v>1622.0982662733236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selection activeCell="A34" sqref="A34"/>
    </sheetView>
  </sheetViews>
  <sheetFormatPr baseColWidth="10" defaultRowHeight="15" x14ac:dyDescent="0"/>
  <cols>
    <col min="1" max="1" width="31.83203125" customWidth="1"/>
  </cols>
  <sheetData>
    <row r="1" spans="1:26">
      <c r="A1" t="s">
        <v>108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2765</v>
      </c>
      <c r="C2">
        <v>4527</v>
      </c>
      <c r="D2">
        <v>2001</v>
      </c>
      <c r="E2">
        <v>2226</v>
      </c>
      <c r="F2">
        <v>3080</v>
      </c>
      <c r="G2">
        <v>5443</v>
      </c>
      <c r="H2">
        <v>9251</v>
      </c>
      <c r="I2">
        <v>12620</v>
      </c>
      <c r="J2">
        <v>9558</v>
      </c>
      <c r="K2">
        <v>8481</v>
      </c>
      <c r="L2">
        <v>7107</v>
      </c>
      <c r="M2">
        <v>5388</v>
      </c>
      <c r="O2">
        <v>2576.8440000000001</v>
      </c>
      <c r="P2">
        <v>5106.3590000000004</v>
      </c>
      <c r="Q2">
        <v>2017.2460000000001</v>
      </c>
      <c r="R2">
        <v>3282.2860000000001</v>
      </c>
      <c r="S2">
        <v>3319.0239999999999</v>
      </c>
      <c r="T2">
        <v>4634.2030000000004</v>
      </c>
      <c r="U2">
        <v>6420.348</v>
      </c>
      <c r="V2">
        <v>11413.217000000001</v>
      </c>
      <c r="W2">
        <v>9458.8250000000007</v>
      </c>
      <c r="X2">
        <v>10747.4</v>
      </c>
      <c r="Y2">
        <v>9381.6790000000001</v>
      </c>
      <c r="Z2">
        <v>6957.116</v>
      </c>
    </row>
    <row r="3" spans="1:26">
      <c r="B3">
        <v>2432</v>
      </c>
      <c r="C3">
        <v>3523</v>
      </c>
      <c r="D3">
        <v>3354</v>
      </c>
      <c r="E3">
        <v>2344</v>
      </c>
      <c r="F3">
        <v>4057</v>
      </c>
      <c r="G3">
        <v>6997</v>
      </c>
      <c r="H3">
        <v>7739</v>
      </c>
      <c r="I3">
        <v>11302</v>
      </c>
      <c r="J3">
        <v>8656</v>
      </c>
      <c r="K3">
        <v>8723</v>
      </c>
      <c r="L3">
        <v>7686</v>
      </c>
      <c r="M3">
        <v>5283</v>
      </c>
      <c r="O3">
        <v>2398.9940000000001</v>
      </c>
      <c r="P3">
        <v>6472.4110000000001</v>
      </c>
      <c r="Q3">
        <v>2745.2689999999998</v>
      </c>
      <c r="R3">
        <v>3194.1570000000002</v>
      </c>
      <c r="S3">
        <v>2791.5059999999999</v>
      </c>
      <c r="T3">
        <v>5083.6790000000001</v>
      </c>
      <c r="U3">
        <v>8921.1059999999998</v>
      </c>
      <c r="V3">
        <v>11527.108</v>
      </c>
      <c r="W3">
        <v>10300.636</v>
      </c>
      <c r="X3">
        <v>8987.2109999999993</v>
      </c>
      <c r="Y3">
        <v>10710.169</v>
      </c>
      <c r="Z3">
        <v>7039.4269999999997</v>
      </c>
    </row>
    <row r="4" spans="1:26">
      <c r="B4">
        <v>2500</v>
      </c>
      <c r="C4">
        <v>5027</v>
      </c>
      <c r="D4">
        <v>2107</v>
      </c>
      <c r="E4">
        <v>2723</v>
      </c>
      <c r="F4">
        <v>3226</v>
      </c>
      <c r="G4">
        <v>6520</v>
      </c>
      <c r="H4">
        <v>5120</v>
      </c>
      <c r="I4">
        <v>12548</v>
      </c>
      <c r="J4">
        <v>10491</v>
      </c>
      <c r="K4">
        <v>8310</v>
      </c>
      <c r="L4">
        <v>9347</v>
      </c>
      <c r="M4">
        <v>6015</v>
      </c>
      <c r="O4">
        <v>2951.4459999999999</v>
      </c>
      <c r="P4">
        <v>3277.279</v>
      </c>
      <c r="Q4">
        <v>2381.0650000000001</v>
      </c>
      <c r="R4">
        <v>3452.5619999999999</v>
      </c>
      <c r="S4">
        <v>3411.25</v>
      </c>
      <c r="T4">
        <v>4172.5780000000004</v>
      </c>
      <c r="U4">
        <v>8593.223</v>
      </c>
      <c r="V4">
        <v>11773.611999999999</v>
      </c>
      <c r="W4">
        <v>11719.013000000001</v>
      </c>
      <c r="X4">
        <v>12753.235000000001</v>
      </c>
    </row>
    <row r="5" spans="1:26">
      <c r="B5">
        <v>2308</v>
      </c>
      <c r="C5">
        <v>3929</v>
      </c>
      <c r="D5">
        <v>2163</v>
      </c>
      <c r="E5">
        <v>2500</v>
      </c>
      <c r="F5">
        <v>2975</v>
      </c>
      <c r="G5">
        <v>5872</v>
      </c>
      <c r="H5">
        <v>7734</v>
      </c>
      <c r="I5">
        <v>11969</v>
      </c>
      <c r="J5">
        <v>10771</v>
      </c>
      <c r="K5">
        <v>7712</v>
      </c>
      <c r="L5">
        <v>7677</v>
      </c>
      <c r="M5">
        <v>5224</v>
      </c>
      <c r="O5">
        <v>2386.9549999999999</v>
      </c>
      <c r="P5">
        <v>3844.692</v>
      </c>
      <c r="Q5">
        <v>2454.6</v>
      </c>
      <c r="R5">
        <v>2615.4499999999998</v>
      </c>
      <c r="S5">
        <v>3151.585</v>
      </c>
      <c r="T5">
        <v>5248.78</v>
      </c>
      <c r="U5">
        <v>7695.0829999999996</v>
      </c>
      <c r="V5">
        <v>10888.1</v>
      </c>
      <c r="W5">
        <v>13066.895</v>
      </c>
      <c r="X5">
        <v>10176.241</v>
      </c>
    </row>
    <row r="6" spans="1:26">
      <c r="B6">
        <v>2638</v>
      </c>
      <c r="C6">
        <v>4286</v>
      </c>
      <c r="D6">
        <v>2065</v>
      </c>
      <c r="E6">
        <v>2364</v>
      </c>
      <c r="F6">
        <v>3477</v>
      </c>
      <c r="G6">
        <v>3824</v>
      </c>
      <c r="H6">
        <v>8331</v>
      </c>
      <c r="I6">
        <v>9003</v>
      </c>
      <c r="J6">
        <v>9926</v>
      </c>
      <c r="K6">
        <v>10151</v>
      </c>
      <c r="L6">
        <v>6450</v>
      </c>
      <c r="M6">
        <v>5019</v>
      </c>
      <c r="S6">
        <v>3807.136</v>
      </c>
      <c r="T6">
        <v>3772.7779999999998</v>
      </c>
      <c r="U6">
        <v>9488.3279999999995</v>
      </c>
      <c r="V6">
        <v>10498.83</v>
      </c>
      <c r="W6">
        <v>12376.088</v>
      </c>
      <c r="X6">
        <v>12428.656000000001</v>
      </c>
    </row>
    <row r="7" spans="1:26">
      <c r="B7">
        <v>2820</v>
      </c>
      <c r="D7">
        <v>2950</v>
      </c>
      <c r="E7">
        <v>2192</v>
      </c>
      <c r="F7">
        <v>4290</v>
      </c>
      <c r="G7">
        <v>6279</v>
      </c>
      <c r="H7">
        <v>8693</v>
      </c>
      <c r="I7">
        <v>7707</v>
      </c>
      <c r="J7">
        <v>9532</v>
      </c>
      <c r="K7">
        <v>10151</v>
      </c>
      <c r="L7">
        <v>7798</v>
      </c>
      <c r="M7">
        <v>5792</v>
      </c>
      <c r="T7">
        <v>5009.1729999999998</v>
      </c>
      <c r="U7">
        <v>6221.3729999999996</v>
      </c>
      <c r="W7">
        <v>13355.763000000001</v>
      </c>
    </row>
    <row r="8" spans="1:26">
      <c r="B8">
        <v>2356</v>
      </c>
      <c r="F8">
        <v>4652</v>
      </c>
      <c r="G8">
        <v>7078</v>
      </c>
      <c r="H8">
        <v>9410</v>
      </c>
      <c r="I8">
        <v>8778</v>
      </c>
      <c r="J8">
        <v>10151</v>
      </c>
      <c r="K8">
        <v>9208</v>
      </c>
      <c r="L8">
        <v>7585</v>
      </c>
      <c r="M8">
        <v>5455</v>
      </c>
      <c r="T8">
        <v>7220.2030000000004</v>
      </c>
      <c r="U8">
        <v>7053.8819999999996</v>
      </c>
      <c r="W8">
        <v>10503.674000000001</v>
      </c>
    </row>
    <row r="9" spans="1:26">
      <c r="F9">
        <v>3799</v>
      </c>
      <c r="G9">
        <v>8172</v>
      </c>
      <c r="H9">
        <v>8127</v>
      </c>
      <c r="I9">
        <v>9458</v>
      </c>
      <c r="K9">
        <v>9621</v>
      </c>
      <c r="L9">
        <v>9142</v>
      </c>
      <c r="M9">
        <v>6891</v>
      </c>
      <c r="T9">
        <v>6724.0529999999999</v>
      </c>
      <c r="U9">
        <v>6559.2520000000004</v>
      </c>
      <c r="W9">
        <v>13176.661</v>
      </c>
    </row>
    <row r="10" spans="1:26">
      <c r="G10">
        <v>7868</v>
      </c>
      <c r="H10">
        <v>8380</v>
      </c>
      <c r="I10">
        <v>14086</v>
      </c>
      <c r="T10">
        <v>5061.6450000000004</v>
      </c>
      <c r="U10">
        <v>7009.5860000000002</v>
      </c>
    </row>
    <row r="11" spans="1:26">
      <c r="G11">
        <v>5704</v>
      </c>
      <c r="H11">
        <v>8399</v>
      </c>
    </row>
    <row r="12" spans="1:26">
      <c r="G12">
        <v>7457</v>
      </c>
      <c r="H12">
        <v>8951</v>
      </c>
    </row>
    <row r="13" spans="1:26">
      <c r="G13">
        <v>4606</v>
      </c>
      <c r="H13">
        <v>6398</v>
      </c>
    </row>
    <row r="21" spans="1:26">
      <c r="A21" t="s">
        <v>109</v>
      </c>
      <c r="B21">
        <v>1205</v>
      </c>
      <c r="C21">
        <v>839</v>
      </c>
      <c r="D21">
        <v>1309</v>
      </c>
      <c r="E21">
        <v>1322</v>
      </c>
      <c r="F21">
        <v>1857</v>
      </c>
      <c r="G21">
        <v>2625</v>
      </c>
      <c r="H21">
        <v>3558</v>
      </c>
      <c r="I21">
        <v>4528</v>
      </c>
      <c r="J21">
        <v>4407</v>
      </c>
      <c r="K21">
        <v>4595</v>
      </c>
      <c r="L21">
        <v>3343</v>
      </c>
      <c r="M21">
        <v>2546</v>
      </c>
      <c r="O21">
        <v>1030.982</v>
      </c>
      <c r="P21">
        <v>1180.7829999999999</v>
      </c>
      <c r="Q21">
        <v>1216.81</v>
      </c>
      <c r="R21">
        <v>1919.0419999999999</v>
      </c>
      <c r="S21">
        <v>2130.8589999999999</v>
      </c>
      <c r="T21">
        <v>2392.3980000000001</v>
      </c>
      <c r="U21">
        <v>2839.8330000000001</v>
      </c>
      <c r="V21">
        <v>3962.8580000000002</v>
      </c>
      <c r="W21">
        <v>4452.2669999999998</v>
      </c>
      <c r="X21">
        <v>4542.1610000000001</v>
      </c>
      <c r="Y21">
        <v>5067.7139999999999</v>
      </c>
      <c r="Z21">
        <v>3304.8739999999998</v>
      </c>
    </row>
    <row r="22" spans="1:26">
      <c r="B22">
        <v>1027</v>
      </c>
      <c r="C22">
        <v>1066</v>
      </c>
      <c r="D22">
        <v>1505</v>
      </c>
      <c r="E22">
        <v>1437</v>
      </c>
      <c r="F22">
        <v>1780</v>
      </c>
      <c r="G22">
        <v>2181</v>
      </c>
      <c r="H22">
        <v>3537</v>
      </c>
      <c r="I22">
        <v>3168</v>
      </c>
      <c r="J22">
        <v>4807</v>
      </c>
      <c r="K22">
        <v>3315</v>
      </c>
      <c r="L22">
        <v>2552</v>
      </c>
      <c r="M22">
        <v>2701</v>
      </c>
      <c r="O22">
        <v>1100.8520000000001</v>
      </c>
      <c r="P22">
        <v>1131.634</v>
      </c>
      <c r="Q22">
        <v>1164.4839999999999</v>
      </c>
      <c r="R22">
        <v>1342.35</v>
      </c>
      <c r="S22">
        <v>2390.5450000000001</v>
      </c>
      <c r="T22">
        <v>2835.0859999999998</v>
      </c>
      <c r="U22">
        <v>2424.9140000000002</v>
      </c>
      <c r="V22">
        <v>2402.4409999999998</v>
      </c>
      <c r="W22">
        <v>5329.3149999999996</v>
      </c>
      <c r="X22">
        <v>4260.3850000000002</v>
      </c>
      <c r="Y22">
        <v>3886.63</v>
      </c>
      <c r="Z22">
        <v>4577.2849999999999</v>
      </c>
    </row>
    <row r="23" spans="1:26">
      <c r="B23">
        <v>1048</v>
      </c>
      <c r="C23">
        <v>1148</v>
      </c>
      <c r="D23">
        <v>1196</v>
      </c>
      <c r="E23">
        <v>954</v>
      </c>
      <c r="F23">
        <v>1433</v>
      </c>
      <c r="G23">
        <v>2239</v>
      </c>
      <c r="H23">
        <v>3579</v>
      </c>
      <c r="I23">
        <v>2660</v>
      </c>
      <c r="J23">
        <v>4746</v>
      </c>
      <c r="K23">
        <v>3514</v>
      </c>
      <c r="L23">
        <v>2498</v>
      </c>
      <c r="M23">
        <v>1781</v>
      </c>
      <c r="O23">
        <v>1074.5170000000001</v>
      </c>
      <c r="P23">
        <v>1001.098</v>
      </c>
      <c r="Q23">
        <v>1014.571</v>
      </c>
      <c r="R23">
        <v>1591.143</v>
      </c>
      <c r="S23">
        <v>2368.8240000000001</v>
      </c>
      <c r="T23">
        <v>2417.4580000000001</v>
      </c>
      <c r="U23">
        <v>4017.768</v>
      </c>
      <c r="V23">
        <v>4745.3869999999997</v>
      </c>
      <c r="W23">
        <v>5188.683</v>
      </c>
      <c r="X23">
        <v>5894.7359999999999</v>
      </c>
      <c r="Y23">
        <v>6436.8410000000003</v>
      </c>
    </row>
    <row r="24" spans="1:26">
      <c r="B24">
        <v>856</v>
      </c>
      <c r="E24">
        <v>1409</v>
      </c>
      <c r="F24">
        <v>1578</v>
      </c>
      <c r="G24">
        <v>2629</v>
      </c>
      <c r="I24">
        <v>4438</v>
      </c>
      <c r="J24">
        <v>4618</v>
      </c>
      <c r="K24">
        <v>3384</v>
      </c>
      <c r="L24">
        <v>3127</v>
      </c>
      <c r="R24">
        <v>2270.5970000000002</v>
      </c>
      <c r="S24">
        <v>2154.4520000000002</v>
      </c>
      <c r="T24">
        <v>2257.1860000000001</v>
      </c>
      <c r="U24">
        <v>4468.7079999999996</v>
      </c>
      <c r="V24">
        <v>3469.998</v>
      </c>
      <c r="W24">
        <v>5001.1959999999999</v>
      </c>
      <c r="X24">
        <v>5360.9560000000001</v>
      </c>
      <c r="Y24">
        <v>4347.6009999999997</v>
      </c>
    </row>
    <row r="25" spans="1:26">
      <c r="E25">
        <v>1448</v>
      </c>
      <c r="F25">
        <v>1915</v>
      </c>
      <c r="G25">
        <v>2486</v>
      </c>
      <c r="I25">
        <v>3737</v>
      </c>
      <c r="J25">
        <v>3679</v>
      </c>
      <c r="K25">
        <v>4604</v>
      </c>
      <c r="L25">
        <v>2354</v>
      </c>
      <c r="S25">
        <v>1963.7860000000001</v>
      </c>
      <c r="U25">
        <v>2950.8679999999999</v>
      </c>
      <c r="V25">
        <v>3331.4270000000001</v>
      </c>
      <c r="W25">
        <v>4099.7640000000001</v>
      </c>
      <c r="X25">
        <v>4455.1790000000001</v>
      </c>
    </row>
    <row r="26" spans="1:26">
      <c r="E26">
        <v>1061</v>
      </c>
      <c r="I26">
        <v>4101</v>
      </c>
      <c r="K26">
        <v>3902</v>
      </c>
      <c r="L26">
        <v>2517</v>
      </c>
      <c r="U26">
        <v>3289.9929999999999</v>
      </c>
      <c r="V26">
        <v>2744.2739999999999</v>
      </c>
      <c r="W26">
        <v>5061.2250000000004</v>
      </c>
      <c r="X26">
        <v>6107.4610000000002</v>
      </c>
    </row>
    <row r="27" spans="1:26">
      <c r="U27">
        <v>3021.1080000000002</v>
      </c>
    </row>
    <row r="35" spans="1:26" s="5" customFormat="1">
      <c r="A35" s="5" t="s">
        <v>110</v>
      </c>
      <c r="B35" s="5">
        <f>AVERAGE(B21:B33)</f>
        <v>1034</v>
      </c>
      <c r="C35" s="5">
        <f t="shared" ref="C35:Z35" si="0">AVERAGE(C21:C33)</f>
        <v>1017.6666666666666</v>
      </c>
      <c r="D35" s="5">
        <f t="shared" si="0"/>
        <v>1336.6666666666667</v>
      </c>
      <c r="E35" s="5">
        <f t="shared" si="0"/>
        <v>1271.8333333333333</v>
      </c>
      <c r="F35" s="5">
        <f t="shared" si="0"/>
        <v>1712.6</v>
      </c>
      <c r="G35" s="5">
        <f t="shared" si="0"/>
        <v>2432</v>
      </c>
      <c r="H35" s="5">
        <f t="shared" si="0"/>
        <v>3558</v>
      </c>
      <c r="I35" s="5">
        <f t="shared" si="0"/>
        <v>3772</v>
      </c>
      <c r="J35" s="5">
        <f t="shared" si="0"/>
        <v>4451.3999999999996</v>
      </c>
      <c r="K35" s="5">
        <f t="shared" si="0"/>
        <v>3885.6666666666665</v>
      </c>
      <c r="L35" s="5">
        <f t="shared" si="0"/>
        <v>2731.8333333333335</v>
      </c>
      <c r="M35" s="5">
        <f t="shared" si="0"/>
        <v>2342.6666666666665</v>
      </c>
      <c r="O35" s="5">
        <f t="shared" si="0"/>
        <v>1068.7836666666665</v>
      </c>
      <c r="P35" s="5">
        <f t="shared" si="0"/>
        <v>1104.5049999999999</v>
      </c>
      <c r="Q35" s="5">
        <f t="shared" si="0"/>
        <v>1131.9549999999999</v>
      </c>
      <c r="R35" s="5">
        <f t="shared" si="0"/>
        <v>1780.7829999999999</v>
      </c>
      <c r="S35" s="5">
        <f t="shared" si="0"/>
        <v>2201.6932000000002</v>
      </c>
      <c r="T35" s="5">
        <f t="shared" si="0"/>
        <v>2475.5320000000002</v>
      </c>
      <c r="U35" s="5">
        <f t="shared" si="0"/>
        <v>3287.5988571428566</v>
      </c>
      <c r="V35" s="5">
        <f t="shared" si="0"/>
        <v>3442.7308333333335</v>
      </c>
      <c r="W35" s="5">
        <f t="shared" si="0"/>
        <v>4855.4083333333328</v>
      </c>
      <c r="X35" s="5">
        <f t="shared" si="0"/>
        <v>5103.4796666666662</v>
      </c>
      <c r="Y35" s="5">
        <f t="shared" si="0"/>
        <v>4934.6965</v>
      </c>
      <c r="Z35" s="5">
        <f t="shared" si="0"/>
        <v>3941.0794999999998</v>
      </c>
    </row>
    <row r="38" spans="1:26">
      <c r="A38" t="s">
        <v>111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48</v>
      </c>
      <c r="P38" t="s">
        <v>49</v>
      </c>
      <c r="Q38" t="s">
        <v>50</v>
      </c>
      <c r="R38" t="s">
        <v>51</v>
      </c>
      <c r="S38" t="s">
        <v>52</v>
      </c>
      <c r="T38" t="s">
        <v>53</v>
      </c>
      <c r="U38" t="s">
        <v>54</v>
      </c>
      <c r="V38" t="s">
        <v>55</v>
      </c>
      <c r="W38" t="s">
        <v>56</v>
      </c>
      <c r="X38" t="s">
        <v>57</v>
      </c>
      <c r="Y38" t="s">
        <v>58</v>
      </c>
      <c r="Z38" t="s">
        <v>59</v>
      </c>
    </row>
    <row r="39" spans="1:26">
      <c r="B39">
        <f>B2-1034</f>
        <v>1731</v>
      </c>
      <c r="C39">
        <f>C2-1018</f>
        <v>3509</v>
      </c>
      <c r="D39">
        <f>D2-1337</f>
        <v>664</v>
      </c>
      <c r="E39">
        <f>E2-1272</f>
        <v>954</v>
      </c>
      <c r="F39">
        <f>F2-1713</f>
        <v>1367</v>
      </c>
      <c r="G39">
        <f>G2-2432</f>
        <v>3011</v>
      </c>
      <c r="H39">
        <f>H2-3558</f>
        <v>5693</v>
      </c>
      <c r="I39">
        <f>I2-3772</f>
        <v>8848</v>
      </c>
      <c r="J39">
        <f>J2-4451</f>
        <v>5107</v>
      </c>
      <c r="K39">
        <f>K2-3886</f>
        <v>4595</v>
      </c>
      <c r="L39">
        <f>L2-2732</f>
        <v>4375</v>
      </c>
      <c r="M39">
        <f>M2-2343</f>
        <v>3045</v>
      </c>
      <c r="O39">
        <f>O2-1069</f>
        <v>1507.8440000000001</v>
      </c>
      <c r="P39">
        <f>P2-1105</f>
        <v>4001.3590000000004</v>
      </c>
      <c r="Q39">
        <f>Q2-1132</f>
        <v>885.24600000000009</v>
      </c>
      <c r="R39">
        <f>R2-1781</f>
        <v>1501.2860000000001</v>
      </c>
      <c r="S39">
        <f>S2-2202</f>
        <v>1117.0239999999999</v>
      </c>
      <c r="T39">
        <f>T2-2476</f>
        <v>2158.2030000000004</v>
      </c>
      <c r="U39">
        <f>U2-3288</f>
        <v>3132.348</v>
      </c>
      <c r="V39">
        <f>V2-3443</f>
        <v>7970.2170000000006</v>
      </c>
      <c r="W39">
        <f>W2-4855</f>
        <v>4603.8250000000007</v>
      </c>
      <c r="X39">
        <f>X2-5103</f>
        <v>5644.4</v>
      </c>
      <c r="Y39">
        <f>Y2-4935</f>
        <v>4446.6790000000001</v>
      </c>
      <c r="Z39">
        <f>Z2-3941</f>
        <v>3016.116</v>
      </c>
    </row>
    <row r="40" spans="1:26">
      <c r="B40">
        <f t="shared" ref="B40:B45" si="1">B3-1034</f>
        <v>1398</v>
      </c>
      <c r="C40">
        <f t="shared" ref="C40:C43" si="2">C3-1018</f>
        <v>2505</v>
      </c>
      <c r="D40">
        <f t="shared" ref="D40:D44" si="3">D3-1337</f>
        <v>2017</v>
      </c>
      <c r="E40">
        <f t="shared" ref="E40:E44" si="4">E3-1272</f>
        <v>1072</v>
      </c>
      <c r="F40">
        <f t="shared" ref="F40:F46" si="5">F3-1713</f>
        <v>2344</v>
      </c>
      <c r="G40">
        <f t="shared" ref="G40:G50" si="6">G3-2432</f>
        <v>4565</v>
      </c>
      <c r="H40">
        <f t="shared" ref="H40:H50" si="7">H3-3558</f>
        <v>4181</v>
      </c>
      <c r="I40">
        <f t="shared" ref="I40:I47" si="8">I3-3772</f>
        <v>7530</v>
      </c>
      <c r="J40">
        <f t="shared" ref="J40:J45" si="9">J3-4451</f>
        <v>4205</v>
      </c>
      <c r="K40">
        <f t="shared" ref="K40:K46" si="10">K3-3886</f>
        <v>4837</v>
      </c>
      <c r="L40">
        <f t="shared" ref="L40:L46" si="11">L3-2732</f>
        <v>4954</v>
      </c>
      <c r="M40">
        <f t="shared" ref="M40:M46" si="12">M3-2343</f>
        <v>2940</v>
      </c>
      <c r="O40">
        <f t="shared" ref="O40:O42" si="13">O3-1069</f>
        <v>1329.9940000000001</v>
      </c>
      <c r="P40">
        <f t="shared" ref="P40:P42" si="14">P3-1105</f>
        <v>5367.4110000000001</v>
      </c>
      <c r="Q40">
        <f t="shared" ref="Q40:Q42" si="15">Q3-1132</f>
        <v>1613.2689999999998</v>
      </c>
      <c r="R40">
        <f t="shared" ref="R40:R42" si="16">R3-1781</f>
        <v>1413.1570000000002</v>
      </c>
      <c r="S40">
        <f t="shared" ref="S40:S43" si="17">S3-2202</f>
        <v>589.50599999999986</v>
      </c>
      <c r="T40">
        <f t="shared" ref="T40:T47" si="18">T3-2476</f>
        <v>2607.6790000000001</v>
      </c>
      <c r="U40">
        <f t="shared" ref="U40:U47" si="19">U3-3288</f>
        <v>5633.1059999999998</v>
      </c>
      <c r="V40">
        <f t="shared" ref="V40:V43" si="20">V3-3443</f>
        <v>8084.1080000000002</v>
      </c>
      <c r="W40">
        <f t="shared" ref="W40:W46" si="21">W3-4855</f>
        <v>5445.6360000000004</v>
      </c>
      <c r="X40">
        <f t="shared" ref="X40:X43" si="22">X3-5103</f>
        <v>3884.2109999999993</v>
      </c>
      <c r="Y40">
        <f t="shared" ref="Y40" si="23">Y3-4935</f>
        <v>5775.1689999999999</v>
      </c>
      <c r="Z40">
        <f t="shared" ref="Z40" si="24">Z3-3941</f>
        <v>3098.4269999999997</v>
      </c>
    </row>
    <row r="41" spans="1:26">
      <c r="B41">
        <f t="shared" si="1"/>
        <v>1466</v>
      </c>
      <c r="C41">
        <f t="shared" si="2"/>
        <v>4009</v>
      </c>
      <c r="D41">
        <f t="shared" si="3"/>
        <v>770</v>
      </c>
      <c r="E41">
        <f t="shared" si="4"/>
        <v>1451</v>
      </c>
      <c r="F41">
        <f t="shared" si="5"/>
        <v>1513</v>
      </c>
      <c r="G41">
        <f t="shared" si="6"/>
        <v>4088</v>
      </c>
      <c r="H41">
        <f t="shared" si="7"/>
        <v>1562</v>
      </c>
      <c r="I41">
        <f t="shared" si="8"/>
        <v>8776</v>
      </c>
      <c r="J41">
        <f t="shared" si="9"/>
        <v>6040</v>
      </c>
      <c r="K41">
        <f t="shared" si="10"/>
        <v>4424</v>
      </c>
      <c r="L41">
        <f t="shared" si="11"/>
        <v>6615</v>
      </c>
      <c r="M41">
        <f t="shared" si="12"/>
        <v>3672</v>
      </c>
      <c r="O41">
        <f t="shared" si="13"/>
        <v>1882.4459999999999</v>
      </c>
      <c r="P41">
        <f t="shared" si="14"/>
        <v>2172.279</v>
      </c>
      <c r="Q41">
        <f t="shared" si="15"/>
        <v>1249.0650000000001</v>
      </c>
      <c r="R41">
        <f t="shared" si="16"/>
        <v>1671.5619999999999</v>
      </c>
      <c r="S41">
        <f t="shared" si="17"/>
        <v>1209.25</v>
      </c>
      <c r="T41">
        <f t="shared" si="18"/>
        <v>1696.5780000000004</v>
      </c>
      <c r="U41">
        <f t="shared" si="19"/>
        <v>5305.223</v>
      </c>
      <c r="V41">
        <f t="shared" si="20"/>
        <v>8330.6119999999992</v>
      </c>
      <c r="W41">
        <f t="shared" si="21"/>
        <v>6864.0130000000008</v>
      </c>
      <c r="X41">
        <f t="shared" si="22"/>
        <v>7650.2350000000006</v>
      </c>
    </row>
    <row r="42" spans="1:26">
      <c r="B42">
        <f t="shared" si="1"/>
        <v>1274</v>
      </c>
      <c r="C42">
        <f t="shared" si="2"/>
        <v>2911</v>
      </c>
      <c r="D42">
        <f t="shared" si="3"/>
        <v>826</v>
      </c>
      <c r="E42">
        <f t="shared" si="4"/>
        <v>1228</v>
      </c>
      <c r="F42">
        <f t="shared" si="5"/>
        <v>1262</v>
      </c>
      <c r="G42">
        <f t="shared" si="6"/>
        <v>3440</v>
      </c>
      <c r="H42">
        <f t="shared" si="7"/>
        <v>4176</v>
      </c>
      <c r="I42">
        <f t="shared" si="8"/>
        <v>8197</v>
      </c>
      <c r="J42">
        <f t="shared" si="9"/>
        <v>6320</v>
      </c>
      <c r="K42">
        <f t="shared" si="10"/>
        <v>3826</v>
      </c>
      <c r="L42">
        <f t="shared" si="11"/>
        <v>4945</v>
      </c>
      <c r="M42">
        <f t="shared" si="12"/>
        <v>2881</v>
      </c>
      <c r="O42">
        <f t="shared" si="13"/>
        <v>1317.9549999999999</v>
      </c>
      <c r="P42">
        <f t="shared" si="14"/>
        <v>2739.692</v>
      </c>
      <c r="Q42">
        <f t="shared" si="15"/>
        <v>1322.6</v>
      </c>
      <c r="R42">
        <f t="shared" si="16"/>
        <v>834.44999999999982</v>
      </c>
      <c r="S42">
        <f t="shared" si="17"/>
        <v>949.58500000000004</v>
      </c>
      <c r="T42">
        <f t="shared" si="18"/>
        <v>2772.7799999999997</v>
      </c>
      <c r="U42">
        <f t="shared" si="19"/>
        <v>4407.0829999999996</v>
      </c>
      <c r="V42">
        <f t="shared" si="20"/>
        <v>7445.1</v>
      </c>
      <c r="W42">
        <f t="shared" si="21"/>
        <v>8211.8950000000004</v>
      </c>
      <c r="X42">
        <f t="shared" si="22"/>
        <v>5073.241</v>
      </c>
    </row>
    <row r="43" spans="1:26">
      <c r="B43">
        <f t="shared" si="1"/>
        <v>1604</v>
      </c>
      <c r="C43">
        <f t="shared" si="2"/>
        <v>3268</v>
      </c>
      <c r="D43">
        <f t="shared" si="3"/>
        <v>728</v>
      </c>
      <c r="E43">
        <f t="shared" si="4"/>
        <v>1092</v>
      </c>
      <c r="F43">
        <f t="shared" si="5"/>
        <v>1764</v>
      </c>
      <c r="G43">
        <f t="shared" si="6"/>
        <v>1392</v>
      </c>
      <c r="H43">
        <f t="shared" si="7"/>
        <v>4773</v>
      </c>
      <c r="I43">
        <f t="shared" si="8"/>
        <v>5231</v>
      </c>
      <c r="J43">
        <f t="shared" si="9"/>
        <v>5475</v>
      </c>
      <c r="K43">
        <f t="shared" si="10"/>
        <v>6265</v>
      </c>
      <c r="L43">
        <f t="shared" si="11"/>
        <v>3718</v>
      </c>
      <c r="M43">
        <f t="shared" si="12"/>
        <v>2676</v>
      </c>
      <c r="S43">
        <f t="shared" si="17"/>
        <v>1605.136</v>
      </c>
      <c r="T43">
        <f t="shared" si="18"/>
        <v>1296.7779999999998</v>
      </c>
      <c r="U43">
        <f t="shared" si="19"/>
        <v>6200.3279999999995</v>
      </c>
      <c r="V43">
        <f t="shared" si="20"/>
        <v>7055.83</v>
      </c>
      <c r="W43">
        <f t="shared" si="21"/>
        <v>7521.0879999999997</v>
      </c>
      <c r="X43">
        <f t="shared" si="22"/>
        <v>7325.6560000000009</v>
      </c>
    </row>
    <row r="44" spans="1:26">
      <c r="B44">
        <f t="shared" si="1"/>
        <v>1786</v>
      </c>
      <c r="D44">
        <f t="shared" si="3"/>
        <v>1613</v>
      </c>
      <c r="E44">
        <f t="shared" si="4"/>
        <v>920</v>
      </c>
      <c r="F44">
        <f t="shared" si="5"/>
        <v>2577</v>
      </c>
      <c r="G44">
        <f t="shared" si="6"/>
        <v>3847</v>
      </c>
      <c r="H44">
        <f t="shared" si="7"/>
        <v>5135</v>
      </c>
      <c r="I44">
        <f t="shared" si="8"/>
        <v>3935</v>
      </c>
      <c r="J44">
        <f t="shared" si="9"/>
        <v>5081</v>
      </c>
      <c r="K44">
        <f t="shared" si="10"/>
        <v>6265</v>
      </c>
      <c r="L44">
        <f t="shared" si="11"/>
        <v>5066</v>
      </c>
      <c r="M44">
        <f t="shared" si="12"/>
        <v>3449</v>
      </c>
      <c r="T44">
        <f t="shared" si="18"/>
        <v>2533.1729999999998</v>
      </c>
      <c r="U44">
        <f t="shared" si="19"/>
        <v>2933.3729999999996</v>
      </c>
      <c r="W44">
        <f t="shared" si="21"/>
        <v>8500.7630000000008</v>
      </c>
    </row>
    <row r="45" spans="1:26">
      <c r="B45">
        <f t="shared" si="1"/>
        <v>1322</v>
      </c>
      <c r="F45">
        <f t="shared" si="5"/>
        <v>2939</v>
      </c>
      <c r="G45">
        <f t="shared" si="6"/>
        <v>4646</v>
      </c>
      <c r="H45">
        <f t="shared" si="7"/>
        <v>5852</v>
      </c>
      <c r="I45">
        <f t="shared" si="8"/>
        <v>5006</v>
      </c>
      <c r="J45">
        <f t="shared" si="9"/>
        <v>5700</v>
      </c>
      <c r="K45">
        <f t="shared" si="10"/>
        <v>5322</v>
      </c>
      <c r="L45">
        <f t="shared" si="11"/>
        <v>4853</v>
      </c>
      <c r="M45">
        <f t="shared" si="12"/>
        <v>3112</v>
      </c>
      <c r="T45">
        <f t="shared" si="18"/>
        <v>4744.2030000000004</v>
      </c>
      <c r="U45">
        <f t="shared" si="19"/>
        <v>3765.8819999999996</v>
      </c>
      <c r="W45">
        <f t="shared" si="21"/>
        <v>5648.6740000000009</v>
      </c>
    </row>
    <row r="46" spans="1:26">
      <c r="F46">
        <f t="shared" si="5"/>
        <v>2086</v>
      </c>
      <c r="G46">
        <f t="shared" si="6"/>
        <v>5740</v>
      </c>
      <c r="H46">
        <f t="shared" si="7"/>
        <v>4569</v>
      </c>
      <c r="I46">
        <f t="shared" si="8"/>
        <v>5686</v>
      </c>
      <c r="K46">
        <f t="shared" si="10"/>
        <v>5735</v>
      </c>
      <c r="L46">
        <f t="shared" si="11"/>
        <v>6410</v>
      </c>
      <c r="M46">
        <f t="shared" si="12"/>
        <v>4548</v>
      </c>
      <c r="T46">
        <f t="shared" si="18"/>
        <v>4248.0529999999999</v>
      </c>
      <c r="U46">
        <f t="shared" si="19"/>
        <v>3271.2520000000004</v>
      </c>
      <c r="W46">
        <f t="shared" si="21"/>
        <v>8321.6610000000001</v>
      </c>
    </row>
    <row r="47" spans="1:26">
      <c r="G47">
        <f t="shared" si="6"/>
        <v>5436</v>
      </c>
      <c r="H47">
        <f t="shared" si="7"/>
        <v>4822</v>
      </c>
      <c r="I47">
        <f t="shared" si="8"/>
        <v>10314</v>
      </c>
      <c r="T47">
        <f t="shared" si="18"/>
        <v>2585.6450000000004</v>
      </c>
      <c r="U47">
        <f t="shared" si="19"/>
        <v>3721.5860000000002</v>
      </c>
    </row>
    <row r="48" spans="1:26">
      <c r="G48">
        <f t="shared" si="6"/>
        <v>3272</v>
      </c>
      <c r="H48">
        <f t="shared" si="7"/>
        <v>4841</v>
      </c>
    </row>
    <row r="49" spans="1:26">
      <c r="G49">
        <f t="shared" si="6"/>
        <v>5025</v>
      </c>
      <c r="H49">
        <f t="shared" si="7"/>
        <v>5393</v>
      </c>
    </row>
    <row r="50" spans="1:26">
      <c r="G50">
        <f t="shared" si="6"/>
        <v>2174</v>
      </c>
      <c r="H50">
        <f t="shared" si="7"/>
        <v>2840</v>
      </c>
    </row>
    <row r="57" spans="1:26">
      <c r="A57" t="s">
        <v>12</v>
      </c>
      <c r="B57">
        <f>AVERAGE(B39:B52)</f>
        <v>1511.5714285714287</v>
      </c>
      <c r="C57">
        <f t="shared" ref="C57:Z57" si="25">AVERAGE(C39:C52)</f>
        <v>3240.4</v>
      </c>
      <c r="D57">
        <f t="shared" si="25"/>
        <v>1103</v>
      </c>
      <c r="E57">
        <f t="shared" si="25"/>
        <v>1119.5</v>
      </c>
      <c r="F57">
        <f t="shared" si="25"/>
        <v>1981.5</v>
      </c>
      <c r="G57">
        <f t="shared" si="25"/>
        <v>3886.3333333333335</v>
      </c>
      <c r="H57">
        <f>AVERAGE(H39:H55)</f>
        <v>4486.416666666667</v>
      </c>
      <c r="I57">
        <f t="shared" si="25"/>
        <v>7058.1111111111113</v>
      </c>
      <c r="J57">
        <f t="shared" si="25"/>
        <v>5418.2857142857147</v>
      </c>
      <c r="K57">
        <f>AVERAGE(K39:K56)</f>
        <v>5158.625</v>
      </c>
      <c r="L57">
        <f t="shared" si="25"/>
        <v>5117</v>
      </c>
      <c r="M57">
        <f t="shared" si="25"/>
        <v>3290.375</v>
      </c>
      <c r="O57">
        <f t="shared" si="25"/>
        <v>1509.5597499999999</v>
      </c>
      <c r="P57">
        <f t="shared" si="25"/>
        <v>3570.1852500000005</v>
      </c>
      <c r="Q57">
        <f t="shared" si="25"/>
        <v>1267.5450000000001</v>
      </c>
      <c r="R57">
        <f t="shared" si="25"/>
        <v>1355.11375</v>
      </c>
      <c r="S57">
        <f t="shared" si="25"/>
        <v>1094.1002000000001</v>
      </c>
      <c r="T57">
        <f t="shared" si="25"/>
        <v>2738.121333333334</v>
      </c>
      <c r="U57">
        <f t="shared" si="25"/>
        <v>4263.353444444444</v>
      </c>
      <c r="V57">
        <f t="shared" si="25"/>
        <v>7777.1733999999997</v>
      </c>
      <c r="W57">
        <f t="shared" si="25"/>
        <v>6889.694375</v>
      </c>
      <c r="X57">
        <f t="shared" si="25"/>
        <v>5915.5486000000001</v>
      </c>
      <c r="Y57">
        <f t="shared" si="25"/>
        <v>5110.924</v>
      </c>
      <c r="Z57">
        <f t="shared" si="25"/>
        <v>3057.2714999999998</v>
      </c>
    </row>
    <row r="58" spans="1:26">
      <c r="A58" t="s">
        <v>13</v>
      </c>
      <c r="B58">
        <f>STDEV(B39:B52)</f>
        <v>199.7313672101082</v>
      </c>
      <c r="C58">
        <f t="shared" ref="C58:Z58" si="26">STDEV(C39:C52)</f>
        <v>572.92477691229305</v>
      </c>
      <c r="D58">
        <f t="shared" si="26"/>
        <v>568.58772410244671</v>
      </c>
      <c r="E58">
        <f t="shared" si="26"/>
        <v>195.89155162997713</v>
      </c>
      <c r="F58">
        <f t="shared" si="26"/>
        <v>606.61143128977426</v>
      </c>
      <c r="G58">
        <f t="shared" si="26"/>
        <v>1304.2106169378212</v>
      </c>
      <c r="H58">
        <f>STDEV(H39:H55)</f>
        <v>1218.9059519491111</v>
      </c>
      <c r="I58">
        <f t="shared" si="26"/>
        <v>2163.9492510479795</v>
      </c>
      <c r="J58">
        <f t="shared" si="26"/>
        <v>702.96033892051037</v>
      </c>
      <c r="K58">
        <f>STDEV(K39:K56)</f>
        <v>889.92053216645616</v>
      </c>
      <c r="L58">
        <f t="shared" si="26"/>
        <v>967.47595023634278</v>
      </c>
      <c r="M58">
        <f t="shared" si="26"/>
        <v>599.07713252492431</v>
      </c>
      <c r="O58">
        <f t="shared" si="26"/>
        <v>263.31434828151083</v>
      </c>
      <c r="P58">
        <f t="shared" si="26"/>
        <v>1421.2426629815593</v>
      </c>
      <c r="Q58">
        <f t="shared" si="26"/>
        <v>299.47185343645572</v>
      </c>
      <c r="R58">
        <f t="shared" si="26"/>
        <v>363.30225296702616</v>
      </c>
      <c r="S58">
        <f t="shared" si="26"/>
        <v>370.95906635126164</v>
      </c>
      <c r="T58">
        <f t="shared" si="26"/>
        <v>1111.6606362495472</v>
      </c>
      <c r="U58">
        <f t="shared" si="26"/>
        <v>1188.8817868163048</v>
      </c>
      <c r="V58">
        <f t="shared" si="26"/>
        <v>516.81186321987605</v>
      </c>
      <c r="W58">
        <f t="shared" si="26"/>
        <v>1494.955203637119</v>
      </c>
      <c r="X58">
        <f t="shared" si="26"/>
        <v>1573.7595025410635</v>
      </c>
      <c r="Y58">
        <f t="shared" si="26"/>
        <v>939.3842877385149</v>
      </c>
      <c r="Z58">
        <f t="shared" si="26"/>
        <v>58.2026662662457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selection activeCell="O38" sqref="O38:Z38"/>
    </sheetView>
  </sheetViews>
  <sheetFormatPr baseColWidth="10" defaultRowHeight="15" x14ac:dyDescent="0"/>
  <cols>
    <col min="1" max="1" width="31.83203125" customWidth="1"/>
  </cols>
  <sheetData>
    <row r="1" spans="1:26">
      <c r="A1" t="s">
        <v>112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1654</v>
      </c>
      <c r="C2">
        <v>3368</v>
      </c>
      <c r="D2">
        <v>2194</v>
      </c>
      <c r="E2">
        <v>1825</v>
      </c>
      <c r="F2">
        <v>3779</v>
      </c>
      <c r="G2">
        <v>4833</v>
      </c>
      <c r="H2">
        <v>4559</v>
      </c>
      <c r="I2">
        <v>7477</v>
      </c>
      <c r="J2">
        <v>9011</v>
      </c>
      <c r="K2">
        <v>10685</v>
      </c>
      <c r="L2">
        <v>8051</v>
      </c>
      <c r="M2">
        <v>8745</v>
      </c>
      <c r="O2">
        <v>1952.8889999999999</v>
      </c>
      <c r="P2">
        <v>3156.8850000000002</v>
      </c>
      <c r="Q2">
        <v>1688.3309999999999</v>
      </c>
      <c r="R2">
        <v>2655.9630000000002</v>
      </c>
      <c r="S2">
        <v>3036.9229999999998</v>
      </c>
      <c r="T2">
        <v>5273.3670000000002</v>
      </c>
      <c r="U2">
        <v>6518.7039999999997</v>
      </c>
      <c r="V2">
        <v>8734.3799999999992</v>
      </c>
      <c r="W2">
        <v>10591.773999999999</v>
      </c>
      <c r="X2">
        <v>13555.116</v>
      </c>
      <c r="Y2">
        <v>11032.273999999999</v>
      </c>
      <c r="Z2">
        <v>8049.9110000000001</v>
      </c>
    </row>
    <row r="3" spans="1:26">
      <c r="B3">
        <v>3901</v>
      </c>
      <c r="C3">
        <v>7432</v>
      </c>
      <c r="D3">
        <v>1119</v>
      </c>
      <c r="E3">
        <v>2635</v>
      </c>
      <c r="F3">
        <v>3066</v>
      </c>
      <c r="G3">
        <v>4375</v>
      </c>
      <c r="H3">
        <v>6067</v>
      </c>
      <c r="I3">
        <v>7525</v>
      </c>
      <c r="J3">
        <v>8727</v>
      </c>
      <c r="K3">
        <v>8690</v>
      </c>
      <c r="L3">
        <v>8678</v>
      </c>
      <c r="M3">
        <v>7002</v>
      </c>
      <c r="O3">
        <v>2333.8829999999998</v>
      </c>
      <c r="P3">
        <v>4195</v>
      </c>
      <c r="Q3">
        <v>2333.8829999999998</v>
      </c>
      <c r="R3">
        <v>1891.442</v>
      </c>
      <c r="S3">
        <v>4033.6819999999998</v>
      </c>
      <c r="T3">
        <v>3821.2730000000001</v>
      </c>
      <c r="U3">
        <v>6394.94</v>
      </c>
      <c r="V3">
        <v>6651.8109999999997</v>
      </c>
      <c r="W3">
        <v>12129.413</v>
      </c>
      <c r="X3">
        <v>13416.036</v>
      </c>
      <c r="Y3">
        <v>13953.598</v>
      </c>
      <c r="Z3">
        <v>9720.6029999999992</v>
      </c>
    </row>
    <row r="4" spans="1:26">
      <c r="B4">
        <v>2472</v>
      </c>
      <c r="C4">
        <v>4680</v>
      </c>
      <c r="D4">
        <v>1340</v>
      </c>
      <c r="E4">
        <v>1905</v>
      </c>
      <c r="F4">
        <v>2832</v>
      </c>
      <c r="G4">
        <v>5728</v>
      </c>
      <c r="H4">
        <v>6596</v>
      </c>
      <c r="I4">
        <v>6426</v>
      </c>
      <c r="J4">
        <v>7730</v>
      </c>
      <c r="K4">
        <v>9742</v>
      </c>
      <c r="L4">
        <v>9358</v>
      </c>
      <c r="M4">
        <v>7521</v>
      </c>
      <c r="O4">
        <v>2039.3620000000001</v>
      </c>
      <c r="P4">
        <v>3705.308</v>
      </c>
      <c r="Q4">
        <v>2074.14</v>
      </c>
      <c r="R4">
        <v>2942.4740000000002</v>
      </c>
      <c r="S4">
        <v>2423.3850000000002</v>
      </c>
      <c r="T4">
        <v>4389.509</v>
      </c>
      <c r="U4">
        <v>5865.0129999999999</v>
      </c>
      <c r="V4">
        <v>9228.2990000000009</v>
      </c>
      <c r="W4">
        <v>11347.528</v>
      </c>
      <c r="X4">
        <v>14363.415000000001</v>
      </c>
      <c r="Y4">
        <v>9705.8629999999994</v>
      </c>
      <c r="Z4">
        <v>8856.1180000000004</v>
      </c>
    </row>
    <row r="5" spans="1:26">
      <c r="B5">
        <v>2654</v>
      </c>
      <c r="C5">
        <v>2503</v>
      </c>
      <c r="D5">
        <v>1543</v>
      </c>
      <c r="E5">
        <v>1645</v>
      </c>
      <c r="F5">
        <v>3674</v>
      </c>
      <c r="G5">
        <v>4247</v>
      </c>
      <c r="H5">
        <v>5183</v>
      </c>
      <c r="I5">
        <v>7987</v>
      </c>
      <c r="J5">
        <v>8361</v>
      </c>
      <c r="K5">
        <v>8980</v>
      </c>
      <c r="L5">
        <v>8793</v>
      </c>
      <c r="M5">
        <v>7204</v>
      </c>
      <c r="O5">
        <v>3338.8139999999999</v>
      </c>
      <c r="P5">
        <v>6351.3729999999996</v>
      </c>
      <c r="Q5">
        <v>1905.1880000000001</v>
      </c>
      <c r="R5">
        <v>2529.4830000000002</v>
      </c>
      <c r="S5">
        <v>3520.8879999999999</v>
      </c>
      <c r="T5">
        <v>4284.8919999999998</v>
      </c>
      <c r="V5">
        <v>9205.1659999999993</v>
      </c>
      <c r="W5">
        <v>13163.49</v>
      </c>
      <c r="X5">
        <v>12933.258</v>
      </c>
      <c r="Y5">
        <v>11422.058000000001</v>
      </c>
      <c r="Z5">
        <v>11458.620999999999</v>
      </c>
    </row>
    <row r="6" spans="1:26">
      <c r="B6">
        <v>3451</v>
      </c>
      <c r="C6">
        <v>8331</v>
      </c>
      <c r="D6">
        <v>1441</v>
      </c>
      <c r="E6">
        <v>1779</v>
      </c>
      <c r="F6">
        <v>2429</v>
      </c>
      <c r="G6">
        <v>3703</v>
      </c>
      <c r="H6">
        <v>6015</v>
      </c>
      <c r="I6">
        <v>8048</v>
      </c>
      <c r="J6">
        <v>9558</v>
      </c>
      <c r="K6">
        <v>9756</v>
      </c>
      <c r="L6">
        <v>10072</v>
      </c>
      <c r="M6">
        <v>8589</v>
      </c>
      <c r="O6">
        <v>3229.3310000000001</v>
      </c>
      <c r="P6">
        <v>5667.95</v>
      </c>
      <c r="R6">
        <v>2877.9110000000001</v>
      </c>
      <c r="S6">
        <v>2593.7759999999998</v>
      </c>
      <c r="V6">
        <v>9796.4480000000003</v>
      </c>
      <c r="W6">
        <v>9405.3870000000006</v>
      </c>
      <c r="X6">
        <v>12251.849</v>
      </c>
      <c r="Y6">
        <v>9999.9410000000007</v>
      </c>
      <c r="Z6">
        <v>8518.76</v>
      </c>
    </row>
    <row r="7" spans="1:26">
      <c r="C7">
        <v>3152</v>
      </c>
      <c r="D7">
        <v>2043</v>
      </c>
      <c r="E7">
        <v>1450</v>
      </c>
      <c r="F7">
        <v>2705</v>
      </c>
      <c r="G7">
        <v>4312</v>
      </c>
      <c r="H7">
        <v>4449</v>
      </c>
      <c r="I7">
        <v>6725</v>
      </c>
      <c r="J7">
        <v>8244</v>
      </c>
      <c r="K7">
        <v>8825</v>
      </c>
      <c r="L7">
        <v>7751</v>
      </c>
      <c r="P7">
        <v>6437.2389999999996</v>
      </c>
      <c r="R7">
        <v>2464.5810000000001</v>
      </c>
      <c r="S7">
        <v>3452.5390000000002</v>
      </c>
      <c r="V7">
        <v>9781.5149999999994</v>
      </c>
      <c r="W7">
        <v>12257.316000000001</v>
      </c>
      <c r="Y7">
        <v>12004.091</v>
      </c>
      <c r="Z7">
        <v>9840.4279999999999</v>
      </c>
    </row>
    <row r="8" spans="1:26">
      <c r="C8">
        <v>2661</v>
      </c>
      <c r="D8">
        <v>1547</v>
      </c>
      <c r="E8">
        <v>1876</v>
      </c>
      <c r="F8">
        <v>2031</v>
      </c>
      <c r="G8">
        <v>4570</v>
      </c>
      <c r="H8">
        <v>6012</v>
      </c>
      <c r="I8">
        <v>8068</v>
      </c>
      <c r="J8">
        <v>9543</v>
      </c>
      <c r="K8">
        <v>8764</v>
      </c>
      <c r="L8">
        <v>7372</v>
      </c>
      <c r="R8">
        <v>2877.6410000000001</v>
      </c>
      <c r="W8">
        <v>13790.754000000001</v>
      </c>
      <c r="Y8">
        <v>9888.9619999999995</v>
      </c>
    </row>
    <row r="9" spans="1:26">
      <c r="C9">
        <v>3541</v>
      </c>
      <c r="E9">
        <v>1776</v>
      </c>
      <c r="F9">
        <v>2005</v>
      </c>
      <c r="G9">
        <v>5295</v>
      </c>
      <c r="H9">
        <v>7303</v>
      </c>
      <c r="I9">
        <v>8409</v>
      </c>
      <c r="J9">
        <v>7066</v>
      </c>
      <c r="K9">
        <v>11954</v>
      </c>
      <c r="W9">
        <v>10120.625</v>
      </c>
      <c r="Y9">
        <v>10910.448</v>
      </c>
    </row>
    <row r="10" spans="1:26">
      <c r="C10">
        <v>4800</v>
      </c>
      <c r="E10">
        <v>1599</v>
      </c>
      <c r="F10">
        <v>2772</v>
      </c>
      <c r="G10">
        <v>3900</v>
      </c>
      <c r="H10">
        <v>6730</v>
      </c>
      <c r="I10">
        <v>8540</v>
      </c>
      <c r="J10">
        <v>7474</v>
      </c>
      <c r="K10">
        <v>10204</v>
      </c>
      <c r="Y10">
        <v>11582.281000000001</v>
      </c>
    </row>
    <row r="11" spans="1:26">
      <c r="I11">
        <v>7013</v>
      </c>
      <c r="J11">
        <v>8800</v>
      </c>
      <c r="Y11">
        <v>11577.272000000001</v>
      </c>
    </row>
    <row r="12" spans="1:26">
      <c r="I12">
        <v>7395</v>
      </c>
      <c r="J12">
        <v>7848</v>
      </c>
    </row>
    <row r="13" spans="1:26">
      <c r="J13">
        <v>7926</v>
      </c>
    </row>
    <row r="14" spans="1:26">
      <c r="J14">
        <v>9354</v>
      </c>
    </row>
    <row r="15" spans="1:26">
      <c r="J15">
        <v>7200</v>
      </c>
    </row>
    <row r="16" spans="1:26">
      <c r="J16">
        <v>8749</v>
      </c>
    </row>
    <row r="21" spans="1:26">
      <c r="A21" t="s">
        <v>113</v>
      </c>
      <c r="B21">
        <v>250</v>
      </c>
      <c r="C21">
        <v>260</v>
      </c>
      <c r="D21">
        <v>291</v>
      </c>
      <c r="E21">
        <v>302</v>
      </c>
      <c r="F21">
        <v>364</v>
      </c>
      <c r="G21">
        <v>613</v>
      </c>
      <c r="H21">
        <v>1090</v>
      </c>
      <c r="I21">
        <v>1114</v>
      </c>
      <c r="J21">
        <v>2605</v>
      </c>
      <c r="K21">
        <v>4210</v>
      </c>
      <c r="L21">
        <v>4361</v>
      </c>
      <c r="M21">
        <v>3644</v>
      </c>
      <c r="O21">
        <v>458.928</v>
      </c>
      <c r="P21">
        <v>509.85899999999998</v>
      </c>
      <c r="Q21">
        <v>530.32600000000002</v>
      </c>
      <c r="R21">
        <v>649.16800000000001</v>
      </c>
      <c r="S21">
        <v>854.07799999999997</v>
      </c>
      <c r="T21">
        <v>803.89800000000002</v>
      </c>
      <c r="U21">
        <v>1519.34</v>
      </c>
      <c r="V21">
        <v>2149.924</v>
      </c>
      <c r="W21">
        <v>4407.9979999999996</v>
      </c>
      <c r="X21">
        <v>7198.3209999999999</v>
      </c>
      <c r="Y21">
        <v>6199.37</v>
      </c>
      <c r="Z21">
        <v>5851.8530000000001</v>
      </c>
    </row>
    <row r="22" spans="1:26">
      <c r="B22">
        <v>211</v>
      </c>
      <c r="C22">
        <v>243</v>
      </c>
      <c r="D22">
        <v>233</v>
      </c>
      <c r="E22">
        <v>287</v>
      </c>
      <c r="F22">
        <v>532</v>
      </c>
      <c r="G22">
        <v>695</v>
      </c>
      <c r="H22">
        <v>1060</v>
      </c>
      <c r="I22">
        <v>1181</v>
      </c>
      <c r="J22">
        <v>1954</v>
      </c>
      <c r="K22">
        <v>3437</v>
      </c>
      <c r="L22">
        <v>4048</v>
      </c>
      <c r="M22">
        <v>2588</v>
      </c>
      <c r="O22">
        <v>383.63299999999998</v>
      </c>
      <c r="P22">
        <v>419.33699999999999</v>
      </c>
      <c r="Q22">
        <v>446.91800000000001</v>
      </c>
      <c r="R22">
        <v>695.59699999999998</v>
      </c>
      <c r="S22">
        <v>564.64300000000003</v>
      </c>
      <c r="T22">
        <v>1279.2819999999999</v>
      </c>
      <c r="U22">
        <v>1821.4380000000001</v>
      </c>
      <c r="V22">
        <v>2384.1619999999998</v>
      </c>
      <c r="W22">
        <v>4663.2740000000003</v>
      </c>
      <c r="X22">
        <v>6775.3090000000002</v>
      </c>
      <c r="Y22">
        <v>5668.0029999999997</v>
      </c>
      <c r="Z22">
        <v>4752.0959999999995</v>
      </c>
    </row>
    <row r="23" spans="1:26">
      <c r="B23">
        <v>275</v>
      </c>
      <c r="C23">
        <v>262</v>
      </c>
      <c r="D23">
        <v>297</v>
      </c>
      <c r="E23">
        <v>362</v>
      </c>
      <c r="F23">
        <v>394</v>
      </c>
      <c r="G23">
        <v>743</v>
      </c>
      <c r="H23">
        <v>1188</v>
      </c>
      <c r="I23">
        <v>1603</v>
      </c>
      <c r="J23">
        <v>1811</v>
      </c>
      <c r="K23">
        <v>4372</v>
      </c>
      <c r="L23">
        <v>4696</v>
      </c>
      <c r="M23">
        <v>3189</v>
      </c>
      <c r="O23">
        <v>485.08600000000001</v>
      </c>
      <c r="P23">
        <v>458.73599999999999</v>
      </c>
      <c r="Q23">
        <v>529.21699999999998</v>
      </c>
      <c r="R23">
        <v>551.93399999999997</v>
      </c>
      <c r="S23">
        <v>847.78899999999999</v>
      </c>
      <c r="T23">
        <v>1257.1420000000001</v>
      </c>
      <c r="U23">
        <v>1618.6849999999999</v>
      </c>
      <c r="V23">
        <v>3242.0160000000001</v>
      </c>
      <c r="W23">
        <v>4934.38</v>
      </c>
      <c r="X23">
        <v>5878.3320000000003</v>
      </c>
      <c r="Y23">
        <v>6283.473</v>
      </c>
    </row>
    <row r="24" spans="1:26">
      <c r="J24">
        <v>1779</v>
      </c>
      <c r="K24">
        <v>3143</v>
      </c>
      <c r="M24">
        <v>4375</v>
      </c>
      <c r="V24">
        <v>2707.78</v>
      </c>
      <c r="W24">
        <v>4781.7920000000004</v>
      </c>
      <c r="X24">
        <v>5942.9930000000004</v>
      </c>
      <c r="Y24">
        <v>6137.8370000000004</v>
      </c>
    </row>
    <row r="25" spans="1:26">
      <c r="J25">
        <v>2665</v>
      </c>
      <c r="K25">
        <v>3373</v>
      </c>
      <c r="V25">
        <v>2082.8110000000001</v>
      </c>
      <c r="W25">
        <v>6138.1229999999996</v>
      </c>
      <c r="X25">
        <v>5715.1880000000001</v>
      </c>
      <c r="Y25">
        <v>7122.9719999999998</v>
      </c>
    </row>
    <row r="26" spans="1:26">
      <c r="J26">
        <v>1924</v>
      </c>
      <c r="V26">
        <v>2380.607</v>
      </c>
    </row>
    <row r="35" spans="1:26" s="5" customFormat="1">
      <c r="A35" s="5" t="s">
        <v>110</v>
      </c>
      <c r="B35" s="5">
        <f>AVERAGE(B21:B33)</f>
        <v>245.33333333333334</v>
      </c>
      <c r="C35" s="5">
        <f t="shared" ref="C35:Z35" si="0">AVERAGE(C21:C33)</f>
        <v>255</v>
      </c>
      <c r="D35" s="5">
        <f t="shared" si="0"/>
        <v>273.66666666666669</v>
      </c>
      <c r="E35" s="5">
        <f t="shared" si="0"/>
        <v>317</v>
      </c>
      <c r="F35" s="5">
        <f t="shared" si="0"/>
        <v>430</v>
      </c>
      <c r="G35" s="5">
        <f t="shared" si="0"/>
        <v>683.66666666666663</v>
      </c>
      <c r="H35" s="5">
        <f t="shared" si="0"/>
        <v>1112.6666666666667</v>
      </c>
      <c r="I35" s="5">
        <f t="shared" si="0"/>
        <v>1299.3333333333333</v>
      </c>
      <c r="J35" s="5">
        <f t="shared" si="0"/>
        <v>2123</v>
      </c>
      <c r="K35" s="5">
        <f t="shared" si="0"/>
        <v>3707</v>
      </c>
      <c r="L35" s="5">
        <f t="shared" si="0"/>
        <v>4368.333333333333</v>
      </c>
      <c r="M35" s="5">
        <f t="shared" si="0"/>
        <v>3449</v>
      </c>
      <c r="O35" s="5">
        <f t="shared" si="0"/>
        <v>442.54899999999998</v>
      </c>
      <c r="P35" s="5">
        <f t="shared" si="0"/>
        <v>462.64399999999995</v>
      </c>
      <c r="Q35" s="5">
        <f t="shared" si="0"/>
        <v>502.15366666666665</v>
      </c>
      <c r="R35" s="5">
        <f t="shared" si="0"/>
        <v>632.23299999999995</v>
      </c>
      <c r="S35" s="5">
        <f t="shared" si="0"/>
        <v>755.50333333333344</v>
      </c>
      <c r="T35" s="5">
        <f t="shared" si="0"/>
        <v>1113.4406666666666</v>
      </c>
      <c r="U35" s="5">
        <f t="shared" si="0"/>
        <v>1653.1543333333332</v>
      </c>
      <c r="V35" s="5">
        <f t="shared" si="0"/>
        <v>2491.2166666666667</v>
      </c>
      <c r="W35" s="5">
        <f t="shared" si="0"/>
        <v>4985.1134000000002</v>
      </c>
      <c r="X35" s="5">
        <f t="shared" si="0"/>
        <v>6302.0286000000006</v>
      </c>
      <c r="Y35" s="5">
        <f t="shared" si="0"/>
        <v>6282.3310000000001</v>
      </c>
      <c r="Z35" s="5">
        <f t="shared" si="0"/>
        <v>5301.9745000000003</v>
      </c>
    </row>
    <row r="38" spans="1:26">
      <c r="A38" t="s">
        <v>114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48</v>
      </c>
      <c r="P38" t="s">
        <v>49</v>
      </c>
      <c r="Q38" t="s">
        <v>50</v>
      </c>
      <c r="R38" t="s">
        <v>51</v>
      </c>
      <c r="S38" t="s">
        <v>52</v>
      </c>
      <c r="T38" t="s">
        <v>53</v>
      </c>
      <c r="U38" t="s">
        <v>54</v>
      </c>
      <c r="V38" t="s">
        <v>55</v>
      </c>
      <c r="W38" t="s">
        <v>56</v>
      </c>
      <c r="X38" t="s">
        <v>57</v>
      </c>
      <c r="Y38" t="s">
        <v>58</v>
      </c>
      <c r="Z38" t="s">
        <v>59</v>
      </c>
    </row>
    <row r="39" spans="1:26">
      <c r="B39">
        <f>B2-245</f>
        <v>1409</v>
      </c>
      <c r="C39">
        <f>C2-255</f>
        <v>3113</v>
      </c>
      <c r="D39">
        <f>D2-274</f>
        <v>1920</v>
      </c>
      <c r="E39">
        <f>E2-317</f>
        <v>1508</v>
      </c>
      <c r="F39">
        <f>F2-430</f>
        <v>3349</v>
      </c>
      <c r="G39">
        <f>G2-684</f>
        <v>4149</v>
      </c>
      <c r="H39">
        <f>H2-1113</f>
        <v>3446</v>
      </c>
      <c r="I39">
        <f>I2-1299</f>
        <v>6178</v>
      </c>
      <c r="J39">
        <f>J2-2123</f>
        <v>6888</v>
      </c>
      <c r="K39">
        <f>K2-3707</f>
        <v>6978</v>
      </c>
      <c r="L39">
        <f>L2-4368</f>
        <v>3683</v>
      </c>
      <c r="M39">
        <f>M2-3449</f>
        <v>5296</v>
      </c>
      <c r="O39">
        <f>O2-443</f>
        <v>1509.8889999999999</v>
      </c>
      <c r="P39">
        <f>P2-463</f>
        <v>2693.8850000000002</v>
      </c>
      <c r="Q39">
        <f>Q2-502</f>
        <v>1186.3309999999999</v>
      </c>
      <c r="R39">
        <f>R2-632</f>
        <v>2023.9630000000002</v>
      </c>
      <c r="S39">
        <f>S2-756</f>
        <v>2280.9229999999998</v>
      </c>
      <c r="T39">
        <f>T2-1113</f>
        <v>4160.3670000000002</v>
      </c>
      <c r="U39">
        <f>U2-1653</f>
        <v>4865.7039999999997</v>
      </c>
      <c r="V39">
        <f>V2-2491</f>
        <v>6243.3799999999992</v>
      </c>
      <c r="W39">
        <f>W2-4985</f>
        <v>5606.7739999999994</v>
      </c>
      <c r="X39">
        <f>X2-6302</f>
        <v>7253.116</v>
      </c>
      <c r="Y39">
        <f>Y2-6282</f>
        <v>4750.2739999999994</v>
      </c>
      <c r="Z39">
        <f>Z2-5302</f>
        <v>2747.9110000000001</v>
      </c>
    </row>
    <row r="40" spans="1:26">
      <c r="B40">
        <f t="shared" ref="B40:B43" si="1">B3-245</f>
        <v>3656</v>
      </c>
      <c r="C40">
        <f t="shared" ref="C40:C47" si="2">C3-255</f>
        <v>7177</v>
      </c>
      <c r="D40">
        <f t="shared" ref="D40:D45" si="3">D3-274</f>
        <v>845</v>
      </c>
      <c r="E40">
        <f t="shared" ref="E40:E47" si="4">E3-317</f>
        <v>2318</v>
      </c>
      <c r="F40">
        <f t="shared" ref="F40:F47" si="5">F3-430</f>
        <v>2636</v>
      </c>
      <c r="G40">
        <f t="shared" ref="G40:G47" si="6">G3-684</f>
        <v>3691</v>
      </c>
      <c r="H40">
        <f t="shared" ref="H40:H47" si="7">H3-1113</f>
        <v>4954</v>
      </c>
      <c r="I40">
        <f t="shared" ref="I40:I49" si="8">I3-1299</f>
        <v>6226</v>
      </c>
      <c r="J40">
        <f t="shared" ref="J40:J53" si="9">J3-2123</f>
        <v>6604</v>
      </c>
      <c r="K40">
        <f t="shared" ref="K40:K47" si="10">K3-3707</f>
        <v>4983</v>
      </c>
      <c r="L40">
        <f t="shared" ref="L40:L45" si="11">L3-4368</f>
        <v>4310</v>
      </c>
      <c r="M40">
        <f t="shared" ref="M40:M43" si="12">M3-3449</f>
        <v>3553</v>
      </c>
      <c r="O40">
        <f t="shared" ref="O40:O43" si="13">O3-443</f>
        <v>1890.8829999999998</v>
      </c>
      <c r="P40">
        <f t="shared" ref="P40:P44" si="14">P3-463</f>
        <v>3732</v>
      </c>
      <c r="Q40">
        <f t="shared" ref="Q40:Q42" si="15">Q3-502</f>
        <v>1831.8829999999998</v>
      </c>
      <c r="R40">
        <f t="shared" ref="R40:R45" si="16">R3-632</f>
        <v>1259.442</v>
      </c>
      <c r="S40">
        <f t="shared" ref="S40:S44" si="17">S3-756</f>
        <v>3277.6819999999998</v>
      </c>
      <c r="T40">
        <f t="shared" ref="T40:T42" si="18">T3-1113</f>
        <v>2708.2730000000001</v>
      </c>
      <c r="U40">
        <f t="shared" ref="U40:U41" si="19">U3-1653</f>
        <v>4741.9399999999996</v>
      </c>
      <c r="V40">
        <f t="shared" ref="V40:V44" si="20">V3-2491</f>
        <v>4160.8109999999997</v>
      </c>
      <c r="W40">
        <f t="shared" ref="W40:W46" si="21">W3-4985</f>
        <v>7144.4130000000005</v>
      </c>
      <c r="X40">
        <f t="shared" ref="X40:X43" si="22">X3-6302</f>
        <v>7114.0360000000001</v>
      </c>
      <c r="Y40">
        <f t="shared" ref="Y40:Y48" si="23">Y3-6282</f>
        <v>7671.598</v>
      </c>
      <c r="Z40">
        <f t="shared" ref="Z40:Z44" si="24">Z3-5302</f>
        <v>4418.6029999999992</v>
      </c>
    </row>
    <row r="41" spans="1:26">
      <c r="B41">
        <f t="shared" si="1"/>
        <v>2227</v>
      </c>
      <c r="C41">
        <f t="shared" si="2"/>
        <v>4425</v>
      </c>
      <c r="D41">
        <f t="shared" si="3"/>
        <v>1066</v>
      </c>
      <c r="E41">
        <f t="shared" si="4"/>
        <v>1588</v>
      </c>
      <c r="F41">
        <f t="shared" si="5"/>
        <v>2402</v>
      </c>
      <c r="G41">
        <f t="shared" si="6"/>
        <v>5044</v>
      </c>
      <c r="H41">
        <f t="shared" si="7"/>
        <v>5483</v>
      </c>
      <c r="I41">
        <f t="shared" si="8"/>
        <v>5127</v>
      </c>
      <c r="J41">
        <f t="shared" si="9"/>
        <v>5607</v>
      </c>
      <c r="K41">
        <f t="shared" si="10"/>
        <v>6035</v>
      </c>
      <c r="L41">
        <f t="shared" si="11"/>
        <v>4990</v>
      </c>
      <c r="M41">
        <f t="shared" si="12"/>
        <v>4072</v>
      </c>
      <c r="O41">
        <f t="shared" si="13"/>
        <v>1596.3620000000001</v>
      </c>
      <c r="P41">
        <f t="shared" si="14"/>
        <v>3242.308</v>
      </c>
      <c r="Q41">
        <f t="shared" si="15"/>
        <v>1572.1399999999999</v>
      </c>
      <c r="R41">
        <f t="shared" si="16"/>
        <v>2310.4740000000002</v>
      </c>
      <c r="S41">
        <f t="shared" si="17"/>
        <v>1667.3850000000002</v>
      </c>
      <c r="T41">
        <f t="shared" si="18"/>
        <v>3276.509</v>
      </c>
      <c r="U41">
        <f t="shared" si="19"/>
        <v>4212.0129999999999</v>
      </c>
      <c r="V41">
        <f t="shared" si="20"/>
        <v>6737.2990000000009</v>
      </c>
      <c r="W41">
        <f t="shared" si="21"/>
        <v>6362.5280000000002</v>
      </c>
      <c r="X41">
        <f t="shared" si="22"/>
        <v>8061.4150000000009</v>
      </c>
      <c r="Y41">
        <f t="shared" si="23"/>
        <v>3423.8629999999994</v>
      </c>
      <c r="Z41">
        <f t="shared" si="24"/>
        <v>3554.1180000000004</v>
      </c>
    </row>
    <row r="42" spans="1:26">
      <c r="B42">
        <f t="shared" si="1"/>
        <v>2409</v>
      </c>
      <c r="C42">
        <f t="shared" si="2"/>
        <v>2248</v>
      </c>
      <c r="D42">
        <f t="shared" si="3"/>
        <v>1269</v>
      </c>
      <c r="E42">
        <f t="shared" si="4"/>
        <v>1328</v>
      </c>
      <c r="F42">
        <f t="shared" si="5"/>
        <v>3244</v>
      </c>
      <c r="G42">
        <f t="shared" si="6"/>
        <v>3563</v>
      </c>
      <c r="H42">
        <f t="shared" si="7"/>
        <v>4070</v>
      </c>
      <c r="I42">
        <f t="shared" si="8"/>
        <v>6688</v>
      </c>
      <c r="J42">
        <f t="shared" si="9"/>
        <v>6238</v>
      </c>
      <c r="K42">
        <f t="shared" si="10"/>
        <v>5273</v>
      </c>
      <c r="L42">
        <f t="shared" si="11"/>
        <v>4425</v>
      </c>
      <c r="M42">
        <f t="shared" si="12"/>
        <v>3755</v>
      </c>
      <c r="O42">
        <f t="shared" si="13"/>
        <v>2895.8139999999999</v>
      </c>
      <c r="P42">
        <f t="shared" si="14"/>
        <v>5888.3729999999996</v>
      </c>
      <c r="Q42">
        <f t="shared" si="15"/>
        <v>1403.1880000000001</v>
      </c>
      <c r="R42">
        <f t="shared" si="16"/>
        <v>1897.4830000000002</v>
      </c>
      <c r="S42">
        <f t="shared" si="17"/>
        <v>2764.8879999999999</v>
      </c>
      <c r="T42">
        <f t="shared" si="18"/>
        <v>3171.8919999999998</v>
      </c>
      <c r="V42">
        <f t="shared" si="20"/>
        <v>6714.1659999999993</v>
      </c>
      <c r="W42">
        <f t="shared" si="21"/>
        <v>8178.49</v>
      </c>
      <c r="X42">
        <f t="shared" si="22"/>
        <v>6631.2579999999998</v>
      </c>
      <c r="Y42">
        <f t="shared" si="23"/>
        <v>5140.0580000000009</v>
      </c>
      <c r="Z42">
        <f t="shared" si="24"/>
        <v>6156.6209999999992</v>
      </c>
    </row>
    <row r="43" spans="1:26">
      <c r="B43">
        <f t="shared" si="1"/>
        <v>3206</v>
      </c>
      <c r="C43">
        <f t="shared" si="2"/>
        <v>8076</v>
      </c>
      <c r="D43">
        <f t="shared" si="3"/>
        <v>1167</v>
      </c>
      <c r="E43">
        <f t="shared" si="4"/>
        <v>1462</v>
      </c>
      <c r="F43">
        <f t="shared" si="5"/>
        <v>1999</v>
      </c>
      <c r="G43">
        <f t="shared" si="6"/>
        <v>3019</v>
      </c>
      <c r="H43">
        <f t="shared" si="7"/>
        <v>4902</v>
      </c>
      <c r="I43">
        <f t="shared" si="8"/>
        <v>6749</v>
      </c>
      <c r="J43">
        <f t="shared" si="9"/>
        <v>7435</v>
      </c>
      <c r="K43">
        <f t="shared" si="10"/>
        <v>6049</v>
      </c>
      <c r="L43">
        <f t="shared" si="11"/>
        <v>5704</v>
      </c>
      <c r="M43">
        <f t="shared" si="12"/>
        <v>5140</v>
      </c>
      <c r="O43">
        <f t="shared" si="13"/>
        <v>2786.3310000000001</v>
      </c>
      <c r="P43">
        <f t="shared" si="14"/>
        <v>5204.95</v>
      </c>
      <c r="R43">
        <f t="shared" si="16"/>
        <v>2245.9110000000001</v>
      </c>
      <c r="S43">
        <f t="shared" si="17"/>
        <v>1837.7759999999998</v>
      </c>
      <c r="V43">
        <f t="shared" si="20"/>
        <v>7305.4480000000003</v>
      </c>
      <c r="W43">
        <f t="shared" si="21"/>
        <v>4420.3870000000006</v>
      </c>
      <c r="X43">
        <f t="shared" si="22"/>
        <v>5949.8490000000002</v>
      </c>
      <c r="Y43">
        <f t="shared" si="23"/>
        <v>3717.9410000000007</v>
      </c>
      <c r="Z43">
        <f t="shared" si="24"/>
        <v>3216.76</v>
      </c>
    </row>
    <row r="44" spans="1:26">
      <c r="C44">
        <f t="shared" si="2"/>
        <v>2897</v>
      </c>
      <c r="D44">
        <f t="shared" si="3"/>
        <v>1769</v>
      </c>
      <c r="E44">
        <f t="shared" si="4"/>
        <v>1133</v>
      </c>
      <c r="F44">
        <f t="shared" si="5"/>
        <v>2275</v>
      </c>
      <c r="G44">
        <f t="shared" si="6"/>
        <v>3628</v>
      </c>
      <c r="H44">
        <f t="shared" si="7"/>
        <v>3336</v>
      </c>
      <c r="I44">
        <f t="shared" si="8"/>
        <v>5426</v>
      </c>
      <c r="J44">
        <f t="shared" si="9"/>
        <v>6121</v>
      </c>
      <c r="K44">
        <f t="shared" si="10"/>
        <v>5118</v>
      </c>
      <c r="L44">
        <f t="shared" si="11"/>
        <v>3383</v>
      </c>
      <c r="P44">
        <f t="shared" si="14"/>
        <v>5974.2389999999996</v>
      </c>
      <c r="R44">
        <f t="shared" si="16"/>
        <v>1832.5810000000001</v>
      </c>
      <c r="S44">
        <f t="shared" si="17"/>
        <v>2696.5390000000002</v>
      </c>
      <c r="V44">
        <f t="shared" si="20"/>
        <v>7290.5149999999994</v>
      </c>
      <c r="W44">
        <f t="shared" si="21"/>
        <v>7272.3160000000007</v>
      </c>
      <c r="Y44">
        <f t="shared" si="23"/>
        <v>5722.0910000000003</v>
      </c>
      <c r="Z44">
        <f t="shared" si="24"/>
        <v>4538.4279999999999</v>
      </c>
    </row>
    <row r="45" spans="1:26">
      <c r="C45">
        <f t="shared" si="2"/>
        <v>2406</v>
      </c>
      <c r="D45">
        <f t="shared" si="3"/>
        <v>1273</v>
      </c>
      <c r="E45">
        <f t="shared" si="4"/>
        <v>1559</v>
      </c>
      <c r="F45">
        <f t="shared" si="5"/>
        <v>1601</v>
      </c>
      <c r="G45">
        <f t="shared" si="6"/>
        <v>3886</v>
      </c>
      <c r="H45">
        <f t="shared" si="7"/>
        <v>4899</v>
      </c>
      <c r="I45">
        <f t="shared" si="8"/>
        <v>6769</v>
      </c>
      <c r="J45">
        <f t="shared" si="9"/>
        <v>7420</v>
      </c>
      <c r="K45">
        <f t="shared" si="10"/>
        <v>5057</v>
      </c>
      <c r="L45">
        <f t="shared" si="11"/>
        <v>3004</v>
      </c>
      <c r="R45">
        <f t="shared" si="16"/>
        <v>2245.6410000000001</v>
      </c>
      <c r="W45">
        <f t="shared" si="21"/>
        <v>8805.7540000000008</v>
      </c>
      <c r="Y45">
        <f t="shared" si="23"/>
        <v>3606.9619999999995</v>
      </c>
    </row>
    <row r="46" spans="1:26">
      <c r="C46">
        <f t="shared" si="2"/>
        <v>3286</v>
      </c>
      <c r="E46">
        <f t="shared" si="4"/>
        <v>1459</v>
      </c>
      <c r="F46">
        <f t="shared" si="5"/>
        <v>1575</v>
      </c>
      <c r="G46">
        <f t="shared" si="6"/>
        <v>4611</v>
      </c>
      <c r="H46">
        <f t="shared" si="7"/>
        <v>6190</v>
      </c>
      <c r="I46">
        <f t="shared" si="8"/>
        <v>7110</v>
      </c>
      <c r="J46">
        <f t="shared" si="9"/>
        <v>4943</v>
      </c>
      <c r="K46">
        <f t="shared" si="10"/>
        <v>8247</v>
      </c>
      <c r="W46">
        <f t="shared" si="21"/>
        <v>5135.625</v>
      </c>
      <c r="Y46">
        <f t="shared" si="23"/>
        <v>4628.4480000000003</v>
      </c>
    </row>
    <row r="47" spans="1:26">
      <c r="C47">
        <f t="shared" si="2"/>
        <v>4545</v>
      </c>
      <c r="E47">
        <f t="shared" si="4"/>
        <v>1282</v>
      </c>
      <c r="F47">
        <f t="shared" si="5"/>
        <v>2342</v>
      </c>
      <c r="G47">
        <f t="shared" si="6"/>
        <v>3216</v>
      </c>
      <c r="H47">
        <f t="shared" si="7"/>
        <v>5617</v>
      </c>
      <c r="I47">
        <f t="shared" si="8"/>
        <v>7241</v>
      </c>
      <c r="J47">
        <f t="shared" si="9"/>
        <v>5351</v>
      </c>
      <c r="K47">
        <f t="shared" si="10"/>
        <v>6497</v>
      </c>
      <c r="Y47">
        <f t="shared" si="23"/>
        <v>5300.2810000000009</v>
      </c>
    </row>
    <row r="48" spans="1:26">
      <c r="I48">
        <f t="shared" si="8"/>
        <v>5714</v>
      </c>
      <c r="J48">
        <f t="shared" si="9"/>
        <v>6677</v>
      </c>
      <c r="Y48">
        <f t="shared" si="23"/>
        <v>5295.2720000000008</v>
      </c>
    </row>
    <row r="49" spans="1:26">
      <c r="I49">
        <f t="shared" si="8"/>
        <v>6096</v>
      </c>
      <c r="J49">
        <f t="shared" si="9"/>
        <v>5725</v>
      </c>
    </row>
    <row r="50" spans="1:26">
      <c r="J50">
        <f t="shared" si="9"/>
        <v>5803</v>
      </c>
    </row>
    <row r="51" spans="1:26">
      <c r="J51">
        <f t="shared" si="9"/>
        <v>7231</v>
      </c>
    </row>
    <row r="52" spans="1:26">
      <c r="J52">
        <f t="shared" si="9"/>
        <v>5077</v>
      </c>
    </row>
    <row r="53" spans="1:26">
      <c r="J53">
        <f t="shared" si="9"/>
        <v>6626</v>
      </c>
    </row>
    <row r="57" spans="1:26">
      <c r="A57" t="s">
        <v>12</v>
      </c>
      <c r="B57">
        <f>AVERAGE(B39:B52)</f>
        <v>2581.4</v>
      </c>
      <c r="C57">
        <f t="shared" ref="C57:Z57" si="25">AVERAGE(C39:C52)</f>
        <v>4241.4444444444443</v>
      </c>
      <c r="D57">
        <f t="shared" si="25"/>
        <v>1329.8571428571429</v>
      </c>
      <c r="E57">
        <f t="shared" si="25"/>
        <v>1515.2222222222222</v>
      </c>
      <c r="F57">
        <f t="shared" si="25"/>
        <v>2380.3333333333335</v>
      </c>
      <c r="G57">
        <f t="shared" si="25"/>
        <v>3867.4444444444443</v>
      </c>
      <c r="H57">
        <f>AVERAGE(H39:H55)</f>
        <v>4766.333333333333</v>
      </c>
      <c r="I57">
        <f t="shared" si="25"/>
        <v>6302.181818181818</v>
      </c>
      <c r="J57">
        <f t="shared" si="25"/>
        <v>6222.8571428571431</v>
      </c>
      <c r="K57">
        <f>AVERAGE(K39:K56)</f>
        <v>6026.333333333333</v>
      </c>
      <c r="L57">
        <f t="shared" si="25"/>
        <v>4214.1428571428569</v>
      </c>
      <c r="M57">
        <f t="shared" si="25"/>
        <v>4363.2</v>
      </c>
      <c r="O57">
        <f t="shared" si="25"/>
        <v>2135.8558000000003</v>
      </c>
      <c r="P57">
        <f t="shared" si="25"/>
        <v>4455.9591666666665</v>
      </c>
      <c r="Q57">
        <f t="shared" si="25"/>
        <v>1498.3854999999999</v>
      </c>
      <c r="R57">
        <f t="shared" si="25"/>
        <v>1973.642142857143</v>
      </c>
      <c r="S57">
        <f t="shared" si="25"/>
        <v>2420.8655000000003</v>
      </c>
      <c r="T57">
        <f t="shared" si="25"/>
        <v>3329.2602500000003</v>
      </c>
      <c r="U57">
        <f t="shared" si="25"/>
        <v>4606.5523333333331</v>
      </c>
      <c r="V57">
        <f t="shared" si="25"/>
        <v>6408.6031666666649</v>
      </c>
      <c r="W57">
        <f t="shared" si="25"/>
        <v>6615.7858750000005</v>
      </c>
      <c r="X57">
        <f t="shared" si="25"/>
        <v>7001.9348000000009</v>
      </c>
      <c r="Y57">
        <f t="shared" si="25"/>
        <v>4925.6787999999997</v>
      </c>
      <c r="Z57">
        <f t="shared" si="25"/>
        <v>4105.4068333333335</v>
      </c>
    </row>
    <row r="58" spans="1:26">
      <c r="A58" t="s">
        <v>13</v>
      </c>
      <c r="B58">
        <f>STDEV(B39:B52)</f>
        <v>876.74585827365036</v>
      </c>
      <c r="C58">
        <f t="shared" ref="C58:Z58" si="26">STDEV(C39:C52)</f>
        <v>2085.1741600590049</v>
      </c>
      <c r="D58">
        <f t="shared" si="26"/>
        <v>382.81432774102041</v>
      </c>
      <c r="E58">
        <f t="shared" si="26"/>
        <v>334.1499580195163</v>
      </c>
      <c r="F58">
        <f t="shared" si="26"/>
        <v>628.88512464519306</v>
      </c>
      <c r="G58">
        <f t="shared" si="26"/>
        <v>646.3518993379505</v>
      </c>
      <c r="H58">
        <f>STDEV(H39:H55)</f>
        <v>975.27624291787197</v>
      </c>
      <c r="I58">
        <f t="shared" si="26"/>
        <v>682.55487957845742</v>
      </c>
      <c r="J58">
        <f t="shared" si="26"/>
        <v>842.9758512046991</v>
      </c>
      <c r="K58">
        <f>STDEV(K39:K56)</f>
        <v>1088.5700482743405</v>
      </c>
      <c r="L58">
        <f t="shared" si="26"/>
        <v>940.97775895987138</v>
      </c>
      <c r="M58">
        <f t="shared" si="26"/>
        <v>803.84432572482547</v>
      </c>
      <c r="O58">
        <f t="shared" si="26"/>
        <v>660.21854700598783</v>
      </c>
      <c r="P58">
        <f t="shared" si="26"/>
        <v>1415.6229518367411</v>
      </c>
      <c r="Q58">
        <f t="shared" si="26"/>
        <v>272.70306424937718</v>
      </c>
      <c r="R58">
        <f t="shared" si="26"/>
        <v>365.12141876113338</v>
      </c>
      <c r="S58">
        <f t="shared" si="26"/>
        <v>609.22770882117459</v>
      </c>
      <c r="T58">
        <f t="shared" si="26"/>
        <v>606.60559812856536</v>
      </c>
      <c r="U58">
        <f t="shared" si="26"/>
        <v>347.23960903723707</v>
      </c>
      <c r="V58">
        <f t="shared" si="26"/>
        <v>1171.6123123411501</v>
      </c>
      <c r="W58">
        <f t="shared" si="26"/>
        <v>1513.8116491869512</v>
      </c>
      <c r="X58">
        <f t="shared" si="26"/>
        <v>781.41582865443695</v>
      </c>
      <c r="Y58">
        <f t="shared" si="26"/>
        <v>1250.3082868713986</v>
      </c>
      <c r="Z58">
        <f t="shared" si="26"/>
        <v>1218.9738501542042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5" workbookViewId="0">
      <selection activeCell="N43" sqref="N43"/>
    </sheetView>
  </sheetViews>
  <sheetFormatPr baseColWidth="10" defaultRowHeight="15" x14ac:dyDescent="0"/>
  <cols>
    <col min="1" max="1" width="31.83203125" customWidth="1"/>
  </cols>
  <sheetData>
    <row r="1" spans="1:26">
      <c r="A1" t="s">
        <v>115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1679</v>
      </c>
      <c r="C2">
        <v>2405</v>
      </c>
      <c r="D2">
        <v>1096</v>
      </c>
      <c r="E2">
        <v>777</v>
      </c>
      <c r="F2">
        <v>1168</v>
      </c>
      <c r="G2">
        <v>1261</v>
      </c>
      <c r="H2">
        <v>1953</v>
      </c>
      <c r="I2">
        <v>2632</v>
      </c>
      <c r="J2">
        <v>1168</v>
      </c>
      <c r="K2">
        <v>840</v>
      </c>
      <c r="L2">
        <v>874</v>
      </c>
      <c r="M2">
        <v>641</v>
      </c>
      <c r="O2">
        <v>1632.61</v>
      </c>
      <c r="P2">
        <v>3077.0729999999999</v>
      </c>
      <c r="Q2">
        <v>1986.6189999999999</v>
      </c>
      <c r="R2">
        <v>2094.3870000000002</v>
      </c>
      <c r="S2">
        <v>1730.7760000000001</v>
      </c>
      <c r="T2">
        <v>2330.4940000000001</v>
      </c>
      <c r="U2">
        <v>2917.0610000000001</v>
      </c>
      <c r="V2">
        <v>4650.5910000000003</v>
      </c>
      <c r="W2">
        <v>9051.1720000000005</v>
      </c>
      <c r="X2">
        <v>8027.5929999999998</v>
      </c>
      <c r="Y2">
        <v>5743.9350000000004</v>
      </c>
      <c r="Z2">
        <v>7399.5889999999999</v>
      </c>
    </row>
    <row r="3" spans="1:26">
      <c r="B3">
        <v>1389</v>
      </c>
      <c r="C3">
        <v>2544</v>
      </c>
      <c r="D3">
        <v>907</v>
      </c>
      <c r="E3">
        <v>914</v>
      </c>
      <c r="F3">
        <v>661</v>
      </c>
      <c r="G3">
        <v>1279</v>
      </c>
      <c r="H3">
        <v>2092</v>
      </c>
      <c r="I3">
        <v>2758</v>
      </c>
      <c r="J3">
        <v>1457</v>
      </c>
      <c r="K3">
        <v>670</v>
      </c>
      <c r="L3">
        <v>1078</v>
      </c>
      <c r="M3">
        <v>757</v>
      </c>
      <c r="O3">
        <v>1775.8309999999999</v>
      </c>
      <c r="P3">
        <v>2334.4059999999999</v>
      </c>
      <c r="Q3">
        <v>1721.6369999999999</v>
      </c>
      <c r="R3">
        <v>1665.0360000000001</v>
      </c>
      <c r="S3">
        <v>2486.3969999999999</v>
      </c>
      <c r="T3">
        <v>2596.462</v>
      </c>
      <c r="U3">
        <v>3315.8330000000001</v>
      </c>
      <c r="V3">
        <v>6036.5050000000001</v>
      </c>
      <c r="W3">
        <v>7973.7520000000004</v>
      </c>
      <c r="X3">
        <v>6632.3819999999996</v>
      </c>
      <c r="Y3">
        <v>6885.06</v>
      </c>
      <c r="Z3">
        <v>5837.6779999999999</v>
      </c>
    </row>
    <row r="4" spans="1:26">
      <c r="B4">
        <v>2017</v>
      </c>
      <c r="C4">
        <v>2611</v>
      </c>
      <c r="D4">
        <v>874</v>
      </c>
      <c r="E4">
        <v>506</v>
      </c>
      <c r="F4">
        <v>415</v>
      </c>
      <c r="G4">
        <v>1350</v>
      </c>
      <c r="H4">
        <v>2160</v>
      </c>
      <c r="I4">
        <v>2639</v>
      </c>
      <c r="J4">
        <v>1167</v>
      </c>
      <c r="K4">
        <v>805</v>
      </c>
      <c r="L4">
        <v>1531</v>
      </c>
      <c r="M4">
        <v>488</v>
      </c>
      <c r="O4">
        <v>1258.1969999999999</v>
      </c>
      <c r="P4">
        <v>3136.125</v>
      </c>
      <c r="Q4">
        <v>1777.634</v>
      </c>
      <c r="R4">
        <v>1931.9259999999999</v>
      </c>
      <c r="S4">
        <v>2618.098</v>
      </c>
      <c r="T4">
        <v>3141.8690000000001</v>
      </c>
      <c r="U4">
        <v>4775.991</v>
      </c>
      <c r="V4">
        <v>5492.4570000000003</v>
      </c>
      <c r="W4">
        <v>9235.9779999999992</v>
      </c>
      <c r="X4">
        <v>7912.232</v>
      </c>
      <c r="Y4">
        <v>6758.0119999999997</v>
      </c>
      <c r="Z4">
        <v>7327.0590000000002</v>
      </c>
    </row>
    <row r="5" spans="1:26">
      <c r="B5">
        <v>1337</v>
      </c>
      <c r="C5">
        <v>3081</v>
      </c>
      <c r="D5">
        <v>1030</v>
      </c>
      <c r="E5">
        <v>1126</v>
      </c>
      <c r="F5">
        <v>985</v>
      </c>
      <c r="G5">
        <v>1068</v>
      </c>
      <c r="H5">
        <v>2057</v>
      </c>
      <c r="I5">
        <v>1999</v>
      </c>
      <c r="J5">
        <v>1898</v>
      </c>
      <c r="K5">
        <v>1005</v>
      </c>
      <c r="L5">
        <v>858</v>
      </c>
      <c r="M5">
        <v>404</v>
      </c>
      <c r="O5">
        <v>1129.0029999999999</v>
      </c>
      <c r="P5">
        <v>3046.0230000000001</v>
      </c>
      <c r="Q5">
        <v>2074.279</v>
      </c>
      <c r="R5">
        <v>2340.8389999999999</v>
      </c>
      <c r="S5">
        <v>3090.645</v>
      </c>
      <c r="T5">
        <v>4316.125</v>
      </c>
      <c r="U5">
        <v>4588.8990000000003</v>
      </c>
      <c r="V5">
        <v>5494.2640000000001</v>
      </c>
      <c r="W5">
        <v>5351.308</v>
      </c>
      <c r="X5">
        <v>8436.6720000000005</v>
      </c>
      <c r="Y5">
        <v>5454.8670000000002</v>
      </c>
      <c r="Z5">
        <v>7372.607</v>
      </c>
    </row>
    <row r="6" spans="1:26">
      <c r="B6">
        <v>1369</v>
      </c>
      <c r="C6">
        <v>5403</v>
      </c>
      <c r="D6">
        <v>1224</v>
      </c>
      <c r="E6">
        <v>1123</v>
      </c>
      <c r="F6">
        <v>1114</v>
      </c>
      <c r="G6">
        <v>1321</v>
      </c>
      <c r="H6">
        <v>1826</v>
      </c>
      <c r="I6">
        <v>2041</v>
      </c>
      <c r="J6">
        <v>1415</v>
      </c>
      <c r="K6">
        <v>1004</v>
      </c>
      <c r="L6">
        <v>995</v>
      </c>
      <c r="O6">
        <v>1577.5129999999999</v>
      </c>
      <c r="P6">
        <v>3596.567</v>
      </c>
      <c r="Q6">
        <v>1470.7429999999999</v>
      </c>
      <c r="R6">
        <v>1910.3779999999999</v>
      </c>
      <c r="S6">
        <v>1856.2570000000001</v>
      </c>
      <c r="T6">
        <v>3274.866</v>
      </c>
      <c r="U6">
        <v>3561.096</v>
      </c>
      <c r="V6">
        <v>5375.3180000000002</v>
      </c>
      <c r="W6">
        <v>6555.7380000000003</v>
      </c>
      <c r="X6">
        <v>7506.7640000000001</v>
      </c>
    </row>
    <row r="7" spans="1:26">
      <c r="B7">
        <v>1543</v>
      </c>
      <c r="C7">
        <v>4103</v>
      </c>
      <c r="D7">
        <v>940</v>
      </c>
      <c r="E7">
        <v>975</v>
      </c>
      <c r="F7">
        <v>1043</v>
      </c>
      <c r="G7">
        <v>1185</v>
      </c>
      <c r="H7">
        <v>2280</v>
      </c>
      <c r="I7">
        <v>2310</v>
      </c>
      <c r="J7">
        <v>1151</v>
      </c>
      <c r="K7">
        <v>1088</v>
      </c>
      <c r="L7">
        <v>1825</v>
      </c>
      <c r="P7">
        <v>3227.3879999999999</v>
      </c>
      <c r="Q7">
        <v>1775.8440000000001</v>
      </c>
      <c r="R7">
        <v>1884.7719999999999</v>
      </c>
      <c r="S7">
        <v>2222.1309999999999</v>
      </c>
      <c r="T7">
        <v>4033.0830000000001</v>
      </c>
      <c r="U7">
        <v>2825.942</v>
      </c>
      <c r="V7">
        <v>4678.8990000000003</v>
      </c>
      <c r="W7">
        <v>6850.009</v>
      </c>
    </row>
    <row r="8" spans="1:26">
      <c r="B8">
        <v>1469</v>
      </c>
      <c r="C8">
        <v>5848</v>
      </c>
      <c r="D8">
        <v>1127</v>
      </c>
      <c r="E8">
        <v>1044</v>
      </c>
      <c r="F8">
        <v>1238</v>
      </c>
      <c r="G8">
        <v>988</v>
      </c>
      <c r="H8">
        <v>2686</v>
      </c>
      <c r="I8">
        <v>3402</v>
      </c>
      <c r="J8">
        <v>1136</v>
      </c>
      <c r="K8">
        <v>1096</v>
      </c>
      <c r="L8">
        <v>1338</v>
      </c>
      <c r="Q8">
        <v>1829.75</v>
      </c>
      <c r="R8">
        <v>1727.24</v>
      </c>
      <c r="S8">
        <v>1754.1790000000001</v>
      </c>
      <c r="T8">
        <v>3272.663</v>
      </c>
      <c r="U8">
        <v>3451.3670000000002</v>
      </c>
      <c r="V8">
        <v>5007.0690000000004</v>
      </c>
      <c r="W8">
        <v>5727.9030000000002</v>
      </c>
    </row>
    <row r="9" spans="1:26">
      <c r="B9">
        <v>1633</v>
      </c>
      <c r="C9">
        <v>3154</v>
      </c>
      <c r="E9">
        <v>1110</v>
      </c>
      <c r="F9">
        <v>898</v>
      </c>
      <c r="G9">
        <v>986</v>
      </c>
      <c r="I9">
        <v>2068</v>
      </c>
      <c r="J9">
        <v>1767</v>
      </c>
      <c r="K9">
        <v>1144</v>
      </c>
      <c r="L9">
        <v>1292</v>
      </c>
      <c r="S9">
        <v>1505.96</v>
      </c>
      <c r="T9">
        <v>3461.6390000000001</v>
      </c>
      <c r="V9">
        <v>5593.7060000000001</v>
      </c>
    </row>
    <row r="10" spans="1:26">
      <c r="B10">
        <v>1532</v>
      </c>
      <c r="C10">
        <v>3535</v>
      </c>
      <c r="E10">
        <v>1079</v>
      </c>
      <c r="F10">
        <v>681</v>
      </c>
      <c r="G10">
        <v>1441</v>
      </c>
      <c r="I10">
        <v>2916</v>
      </c>
      <c r="J10">
        <v>1627</v>
      </c>
      <c r="K10">
        <v>1204</v>
      </c>
      <c r="L10">
        <v>933</v>
      </c>
      <c r="S10">
        <v>1535.306</v>
      </c>
      <c r="T10">
        <v>4081.0120000000002</v>
      </c>
      <c r="V10">
        <v>6351.299</v>
      </c>
    </row>
    <row r="11" spans="1:26">
      <c r="C11">
        <v>3188</v>
      </c>
      <c r="F11">
        <v>1162</v>
      </c>
      <c r="I11">
        <v>2441</v>
      </c>
      <c r="J11">
        <v>1673</v>
      </c>
      <c r="K11">
        <v>935</v>
      </c>
      <c r="L11">
        <v>962</v>
      </c>
      <c r="T11">
        <v>2274.0500000000002</v>
      </c>
      <c r="V11">
        <v>4576.4179999999997</v>
      </c>
    </row>
    <row r="12" spans="1:26">
      <c r="I12">
        <v>2533</v>
      </c>
      <c r="J12">
        <v>1448</v>
      </c>
      <c r="K12">
        <v>1175</v>
      </c>
      <c r="T12">
        <v>2557.1489999999999</v>
      </c>
      <c r="V12">
        <v>4523.1589999999997</v>
      </c>
    </row>
    <row r="13" spans="1:26">
      <c r="I13">
        <v>1920</v>
      </c>
      <c r="J13">
        <v>1832</v>
      </c>
      <c r="K13">
        <v>852</v>
      </c>
      <c r="T13">
        <v>4035.009</v>
      </c>
      <c r="V13">
        <v>5313.1360000000004</v>
      </c>
    </row>
    <row r="14" spans="1:26">
      <c r="I14">
        <v>2619</v>
      </c>
      <c r="J14">
        <v>1872</v>
      </c>
      <c r="K14">
        <v>688</v>
      </c>
      <c r="T14">
        <v>2527.73</v>
      </c>
      <c r="V14">
        <v>4978.384</v>
      </c>
    </row>
    <row r="15" spans="1:26">
      <c r="J15">
        <v>1784</v>
      </c>
      <c r="K15">
        <v>835</v>
      </c>
      <c r="T15">
        <v>3195.424</v>
      </c>
    </row>
    <row r="16" spans="1:26">
      <c r="K16">
        <v>1134</v>
      </c>
      <c r="T16">
        <v>2109.5590000000002</v>
      </c>
    </row>
    <row r="17" spans="1:26">
      <c r="K17">
        <v>695</v>
      </c>
      <c r="T17">
        <v>2349.5619999999999</v>
      </c>
    </row>
    <row r="18" spans="1:26">
      <c r="K18">
        <v>1040</v>
      </c>
      <c r="T18">
        <v>2856.8220000000001</v>
      </c>
    </row>
    <row r="19" spans="1:26">
      <c r="K19">
        <v>1078</v>
      </c>
    </row>
    <row r="21" spans="1:26">
      <c r="A21" t="s">
        <v>116</v>
      </c>
      <c r="B21">
        <v>190</v>
      </c>
      <c r="C21">
        <v>180</v>
      </c>
      <c r="D21">
        <v>179</v>
      </c>
      <c r="E21">
        <v>185</v>
      </c>
      <c r="F21">
        <v>228</v>
      </c>
      <c r="G21">
        <v>209</v>
      </c>
      <c r="H21">
        <v>221</v>
      </c>
      <c r="I21">
        <v>412</v>
      </c>
      <c r="J21">
        <v>466</v>
      </c>
      <c r="K21">
        <v>403</v>
      </c>
      <c r="L21">
        <v>437</v>
      </c>
      <c r="M21">
        <v>286</v>
      </c>
      <c r="O21">
        <v>188.88</v>
      </c>
      <c r="P21">
        <v>177.52699999999999</v>
      </c>
      <c r="Q21">
        <v>160.58500000000001</v>
      </c>
      <c r="R21">
        <v>189.04499999999999</v>
      </c>
      <c r="S21">
        <v>192.239</v>
      </c>
      <c r="T21">
        <v>159.11500000000001</v>
      </c>
      <c r="U21">
        <v>168.249</v>
      </c>
      <c r="V21">
        <v>232.42500000000001</v>
      </c>
      <c r="W21">
        <v>191.30699999999999</v>
      </c>
      <c r="X21">
        <v>289.37200000000001</v>
      </c>
      <c r="Y21">
        <v>740.84</v>
      </c>
      <c r="Z21">
        <v>1080.731</v>
      </c>
    </row>
    <row r="22" spans="1:26">
      <c r="B22">
        <v>249</v>
      </c>
      <c r="C22">
        <v>184</v>
      </c>
      <c r="D22">
        <v>205</v>
      </c>
      <c r="E22">
        <v>203</v>
      </c>
      <c r="F22">
        <v>263</v>
      </c>
      <c r="G22">
        <v>231</v>
      </c>
      <c r="H22">
        <v>432</v>
      </c>
      <c r="I22">
        <v>373</v>
      </c>
      <c r="J22">
        <v>427</v>
      </c>
      <c r="K22">
        <v>480</v>
      </c>
      <c r="L22">
        <v>414</v>
      </c>
      <c r="M22">
        <v>482</v>
      </c>
      <c r="O22">
        <v>210.91</v>
      </c>
      <c r="P22">
        <v>228.04499999999999</v>
      </c>
      <c r="Q22">
        <v>190.328</v>
      </c>
      <c r="R22">
        <v>207.32900000000001</v>
      </c>
      <c r="S22">
        <v>227.88900000000001</v>
      </c>
      <c r="T22">
        <v>187.458</v>
      </c>
      <c r="U22">
        <v>269.96199999999999</v>
      </c>
      <c r="V22">
        <v>238.85900000000001</v>
      </c>
      <c r="W22">
        <v>326.93400000000003</v>
      </c>
      <c r="X22">
        <v>471.15699999999998</v>
      </c>
    </row>
    <row r="23" spans="1:26">
      <c r="B23">
        <v>174</v>
      </c>
      <c r="C23">
        <v>185</v>
      </c>
      <c r="D23">
        <v>214</v>
      </c>
      <c r="E23">
        <v>223</v>
      </c>
      <c r="F23">
        <v>216</v>
      </c>
      <c r="G23">
        <v>247</v>
      </c>
      <c r="H23">
        <v>304</v>
      </c>
      <c r="I23">
        <v>349</v>
      </c>
      <c r="J23">
        <v>531</v>
      </c>
      <c r="K23">
        <v>344</v>
      </c>
      <c r="L23">
        <v>450</v>
      </c>
      <c r="M23">
        <v>486</v>
      </c>
      <c r="O23">
        <v>178.86500000000001</v>
      </c>
      <c r="P23">
        <v>208.74100000000001</v>
      </c>
      <c r="Q23">
        <v>242.505</v>
      </c>
      <c r="R23">
        <v>166.78299999999999</v>
      </c>
      <c r="S23">
        <v>216.107</v>
      </c>
      <c r="T23">
        <v>148.07</v>
      </c>
      <c r="U23">
        <v>245.65100000000001</v>
      </c>
      <c r="V23">
        <v>180.911</v>
      </c>
      <c r="W23">
        <v>277.553</v>
      </c>
    </row>
    <row r="24" spans="1:26">
      <c r="G24">
        <v>423</v>
      </c>
      <c r="H24">
        <v>340</v>
      </c>
      <c r="I24">
        <v>516</v>
      </c>
      <c r="J24">
        <v>717</v>
      </c>
      <c r="K24">
        <v>295</v>
      </c>
      <c r="L24">
        <v>435</v>
      </c>
      <c r="M24">
        <v>340</v>
      </c>
    </row>
    <row r="25" spans="1:26">
      <c r="G25">
        <v>244</v>
      </c>
      <c r="H25">
        <v>280</v>
      </c>
      <c r="I25">
        <v>399</v>
      </c>
      <c r="J25">
        <v>490</v>
      </c>
      <c r="K25">
        <v>348</v>
      </c>
    </row>
    <row r="26" spans="1:26">
      <c r="G26">
        <v>249</v>
      </c>
      <c r="I26">
        <v>460</v>
      </c>
      <c r="J26">
        <v>334</v>
      </c>
      <c r="K26">
        <v>389</v>
      </c>
    </row>
    <row r="27" spans="1:26">
      <c r="G27">
        <v>333</v>
      </c>
      <c r="I27">
        <v>284</v>
      </c>
      <c r="J27">
        <v>257</v>
      </c>
    </row>
    <row r="28" spans="1:26">
      <c r="G28">
        <v>358</v>
      </c>
      <c r="I28">
        <v>496</v>
      </c>
      <c r="J28">
        <v>346</v>
      </c>
    </row>
    <row r="29" spans="1:26">
      <c r="I29">
        <v>619</v>
      </c>
    </row>
    <row r="30" spans="1:26">
      <c r="I30">
        <v>598</v>
      </c>
    </row>
    <row r="35" spans="1:26" s="5" customFormat="1">
      <c r="A35" s="5" t="s">
        <v>110</v>
      </c>
      <c r="B35" s="5">
        <f>AVERAGE(B21:B33)</f>
        <v>204.33333333333334</v>
      </c>
      <c r="C35" s="5">
        <f t="shared" ref="C35:Z35" si="0">AVERAGE(C21:C33)</f>
        <v>183</v>
      </c>
      <c r="D35" s="5">
        <f t="shared" si="0"/>
        <v>199.33333333333334</v>
      </c>
      <c r="E35" s="5">
        <f t="shared" si="0"/>
        <v>203.66666666666666</v>
      </c>
      <c r="F35" s="5">
        <f t="shared" si="0"/>
        <v>235.66666666666666</v>
      </c>
      <c r="G35" s="5">
        <f t="shared" si="0"/>
        <v>286.75</v>
      </c>
      <c r="H35" s="5">
        <f t="shared" si="0"/>
        <v>315.39999999999998</v>
      </c>
      <c r="I35" s="5">
        <f t="shared" si="0"/>
        <v>450.6</v>
      </c>
      <c r="J35" s="5">
        <f t="shared" si="0"/>
        <v>446</v>
      </c>
      <c r="K35" s="5">
        <f t="shared" si="0"/>
        <v>376.5</v>
      </c>
      <c r="L35" s="5">
        <f t="shared" si="0"/>
        <v>434</v>
      </c>
      <c r="M35" s="5">
        <f t="shared" si="0"/>
        <v>398.5</v>
      </c>
      <c r="O35" s="5">
        <f t="shared" si="0"/>
        <v>192.88499999999999</v>
      </c>
      <c r="P35" s="5">
        <f t="shared" si="0"/>
        <v>204.77099999999999</v>
      </c>
      <c r="Q35" s="5">
        <f t="shared" si="0"/>
        <v>197.80600000000001</v>
      </c>
      <c r="R35" s="5">
        <f t="shared" si="0"/>
        <v>187.71900000000002</v>
      </c>
      <c r="S35" s="5">
        <f t="shared" si="0"/>
        <v>212.07833333333335</v>
      </c>
      <c r="T35" s="5">
        <f t="shared" si="0"/>
        <v>164.881</v>
      </c>
      <c r="U35" s="5">
        <f t="shared" si="0"/>
        <v>227.95400000000004</v>
      </c>
      <c r="V35" s="5">
        <f t="shared" si="0"/>
        <v>217.39833333333331</v>
      </c>
      <c r="W35" s="5">
        <f t="shared" si="0"/>
        <v>265.26466666666664</v>
      </c>
      <c r="X35" s="5">
        <f t="shared" si="0"/>
        <v>380.2645</v>
      </c>
      <c r="Y35" s="5">
        <f t="shared" si="0"/>
        <v>740.84</v>
      </c>
      <c r="Z35" s="5">
        <f t="shared" si="0"/>
        <v>1080.731</v>
      </c>
    </row>
    <row r="38" spans="1:26">
      <c r="A38" t="s">
        <v>117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48</v>
      </c>
      <c r="P38" t="s">
        <v>49</v>
      </c>
      <c r="Q38" t="s">
        <v>50</v>
      </c>
      <c r="R38" t="s">
        <v>51</v>
      </c>
      <c r="S38" t="s">
        <v>52</v>
      </c>
      <c r="T38" t="s">
        <v>53</v>
      </c>
      <c r="U38" t="s">
        <v>54</v>
      </c>
      <c r="V38" t="s">
        <v>55</v>
      </c>
      <c r="W38" t="s">
        <v>56</v>
      </c>
      <c r="X38" t="s">
        <v>57</v>
      </c>
      <c r="Y38" t="s">
        <v>58</v>
      </c>
      <c r="Z38" t="s">
        <v>59</v>
      </c>
    </row>
    <row r="39" spans="1:26">
      <c r="B39">
        <f>B2-204</f>
        <v>1475</v>
      </c>
      <c r="C39">
        <f>C2-183</f>
        <v>2222</v>
      </c>
      <c r="D39">
        <f>D2-199</f>
        <v>897</v>
      </c>
      <c r="E39">
        <f>E2-204</f>
        <v>573</v>
      </c>
      <c r="F39">
        <f>F2-236</f>
        <v>932</v>
      </c>
      <c r="G39">
        <f>G2-287</f>
        <v>974</v>
      </c>
      <c r="H39">
        <f>H2-315</f>
        <v>1638</v>
      </c>
      <c r="I39">
        <f>I2-451</f>
        <v>2181</v>
      </c>
      <c r="J39">
        <f>J2-446</f>
        <v>722</v>
      </c>
      <c r="K39">
        <f>K2-377</f>
        <v>463</v>
      </c>
      <c r="L39">
        <f>L2-434</f>
        <v>440</v>
      </c>
      <c r="M39">
        <f>M2-399</f>
        <v>242</v>
      </c>
      <c r="O39">
        <f>O2-193</f>
        <v>1439.61</v>
      </c>
      <c r="P39">
        <f>P2-205</f>
        <v>2872.0729999999999</v>
      </c>
      <c r="Q39">
        <f>Q2-198</f>
        <v>1788.6189999999999</v>
      </c>
      <c r="R39">
        <f>R2-188</f>
        <v>1906.3870000000002</v>
      </c>
      <c r="S39">
        <f>S2-212</f>
        <v>1518.7760000000001</v>
      </c>
      <c r="T39">
        <f>T2-165</f>
        <v>2165.4940000000001</v>
      </c>
      <c r="U39">
        <f>U2-228</f>
        <v>2689.0610000000001</v>
      </c>
      <c r="V39">
        <f>V2-217</f>
        <v>4433.5910000000003</v>
      </c>
      <c r="W39">
        <f>W2-265</f>
        <v>8786.1720000000005</v>
      </c>
      <c r="X39">
        <f>X2-380</f>
        <v>7647.5929999999998</v>
      </c>
      <c r="Y39">
        <f>Y2-741</f>
        <v>5002.9350000000004</v>
      </c>
      <c r="Z39">
        <f>Z2-1081</f>
        <v>6318.5889999999999</v>
      </c>
    </row>
    <row r="40" spans="1:26">
      <c r="B40">
        <f t="shared" ref="B40:B47" si="1">B3-204</f>
        <v>1185</v>
      </c>
      <c r="C40">
        <f t="shared" ref="C40:C48" si="2">C3-183</f>
        <v>2361</v>
      </c>
      <c r="D40">
        <f t="shared" ref="D40:D45" si="3">D3-199</f>
        <v>708</v>
      </c>
      <c r="E40">
        <f t="shared" ref="E40:E47" si="4">E3-204</f>
        <v>710</v>
      </c>
      <c r="F40">
        <f t="shared" ref="F40:F48" si="5">F3-236</f>
        <v>425</v>
      </c>
      <c r="G40">
        <f t="shared" ref="G40:G47" si="6">G3-287</f>
        <v>992</v>
      </c>
      <c r="H40">
        <f t="shared" ref="H40:H45" si="7">H3-315</f>
        <v>1777</v>
      </c>
      <c r="I40">
        <f t="shared" ref="I40:I51" si="8">I3-451</f>
        <v>2307</v>
      </c>
      <c r="J40">
        <f t="shared" ref="J40:J52" si="9">J3-446</f>
        <v>1011</v>
      </c>
      <c r="K40">
        <f t="shared" ref="K40:K56" si="10">K3-377</f>
        <v>293</v>
      </c>
      <c r="L40">
        <f t="shared" ref="L40:L48" si="11">L3-434</f>
        <v>644</v>
      </c>
      <c r="M40">
        <f t="shared" ref="M40:M42" si="12">M3-399</f>
        <v>358</v>
      </c>
      <c r="O40">
        <f t="shared" ref="O40:O43" si="13">O3-193</f>
        <v>1582.8309999999999</v>
      </c>
      <c r="P40">
        <f t="shared" ref="P40:P44" si="14">P3-205</f>
        <v>2129.4059999999999</v>
      </c>
      <c r="Q40">
        <f t="shared" ref="Q40:Q45" si="15">Q3-198</f>
        <v>1523.6369999999999</v>
      </c>
      <c r="R40">
        <f t="shared" ref="R40:R45" si="16">R3-188</f>
        <v>1477.0360000000001</v>
      </c>
      <c r="S40">
        <f t="shared" ref="S40:S47" si="17">S3-212</f>
        <v>2274.3969999999999</v>
      </c>
      <c r="T40">
        <f t="shared" ref="T40:T55" si="18">T3-165</f>
        <v>2431.462</v>
      </c>
      <c r="U40">
        <f t="shared" ref="U40:U45" si="19">U3-228</f>
        <v>3087.8330000000001</v>
      </c>
      <c r="V40">
        <f t="shared" ref="V40:V51" si="20">V3-217</f>
        <v>5819.5050000000001</v>
      </c>
      <c r="W40">
        <f t="shared" ref="W40:W45" si="21">W3-265</f>
        <v>7708.7520000000004</v>
      </c>
      <c r="X40">
        <f t="shared" ref="X40:X43" si="22">X3-380</f>
        <v>6252.3819999999996</v>
      </c>
      <c r="Y40">
        <f t="shared" ref="Y40:Y42" si="23">Y3-741</f>
        <v>6144.06</v>
      </c>
      <c r="Z40">
        <f t="shared" ref="Z40:Z42" si="24">Z3-1081</f>
        <v>4756.6779999999999</v>
      </c>
    </row>
    <row r="41" spans="1:26">
      <c r="B41">
        <f t="shared" si="1"/>
        <v>1813</v>
      </c>
      <c r="C41">
        <f t="shared" si="2"/>
        <v>2428</v>
      </c>
      <c r="D41">
        <f t="shared" si="3"/>
        <v>675</v>
      </c>
      <c r="E41">
        <f t="shared" si="4"/>
        <v>302</v>
      </c>
      <c r="F41">
        <f t="shared" si="5"/>
        <v>179</v>
      </c>
      <c r="G41">
        <f t="shared" si="6"/>
        <v>1063</v>
      </c>
      <c r="H41">
        <f t="shared" si="7"/>
        <v>1845</v>
      </c>
      <c r="I41">
        <f t="shared" si="8"/>
        <v>2188</v>
      </c>
      <c r="J41">
        <f t="shared" si="9"/>
        <v>721</v>
      </c>
      <c r="K41">
        <f t="shared" si="10"/>
        <v>428</v>
      </c>
      <c r="L41">
        <f t="shared" si="11"/>
        <v>1097</v>
      </c>
      <c r="M41">
        <f t="shared" si="12"/>
        <v>89</v>
      </c>
      <c r="O41">
        <f t="shared" si="13"/>
        <v>1065.1969999999999</v>
      </c>
      <c r="P41">
        <f t="shared" si="14"/>
        <v>2931.125</v>
      </c>
      <c r="Q41">
        <f t="shared" si="15"/>
        <v>1579.634</v>
      </c>
      <c r="R41">
        <f t="shared" si="16"/>
        <v>1743.9259999999999</v>
      </c>
      <c r="S41">
        <f t="shared" si="17"/>
        <v>2406.098</v>
      </c>
      <c r="T41">
        <f t="shared" si="18"/>
        <v>2976.8690000000001</v>
      </c>
      <c r="U41">
        <f t="shared" si="19"/>
        <v>4547.991</v>
      </c>
      <c r="V41">
        <f t="shared" si="20"/>
        <v>5275.4570000000003</v>
      </c>
      <c r="W41">
        <f t="shared" si="21"/>
        <v>8970.9779999999992</v>
      </c>
      <c r="X41">
        <f t="shared" si="22"/>
        <v>7532.232</v>
      </c>
      <c r="Y41">
        <f t="shared" si="23"/>
        <v>6017.0119999999997</v>
      </c>
      <c r="Z41">
        <f t="shared" si="24"/>
        <v>6246.0590000000002</v>
      </c>
    </row>
    <row r="42" spans="1:26">
      <c r="B42">
        <f t="shared" si="1"/>
        <v>1133</v>
      </c>
      <c r="C42">
        <f t="shared" si="2"/>
        <v>2898</v>
      </c>
      <c r="D42">
        <f t="shared" si="3"/>
        <v>831</v>
      </c>
      <c r="E42">
        <f t="shared" si="4"/>
        <v>922</v>
      </c>
      <c r="F42">
        <f t="shared" si="5"/>
        <v>749</v>
      </c>
      <c r="G42">
        <f t="shared" si="6"/>
        <v>781</v>
      </c>
      <c r="H42">
        <f t="shared" si="7"/>
        <v>1742</v>
      </c>
      <c r="I42">
        <f t="shared" si="8"/>
        <v>1548</v>
      </c>
      <c r="J42">
        <f t="shared" si="9"/>
        <v>1452</v>
      </c>
      <c r="K42">
        <f t="shared" si="10"/>
        <v>628</v>
      </c>
      <c r="L42">
        <f t="shared" si="11"/>
        <v>424</v>
      </c>
      <c r="M42">
        <f t="shared" si="12"/>
        <v>5</v>
      </c>
      <c r="O42">
        <f t="shared" si="13"/>
        <v>936.00299999999993</v>
      </c>
      <c r="P42">
        <f t="shared" si="14"/>
        <v>2841.0230000000001</v>
      </c>
      <c r="Q42">
        <f t="shared" si="15"/>
        <v>1876.279</v>
      </c>
      <c r="R42">
        <f t="shared" si="16"/>
        <v>2152.8389999999999</v>
      </c>
      <c r="S42">
        <f t="shared" si="17"/>
        <v>2878.645</v>
      </c>
      <c r="T42">
        <f t="shared" si="18"/>
        <v>4151.125</v>
      </c>
      <c r="U42">
        <f t="shared" si="19"/>
        <v>4360.8990000000003</v>
      </c>
      <c r="V42">
        <f t="shared" si="20"/>
        <v>5277.2640000000001</v>
      </c>
      <c r="W42">
        <f t="shared" si="21"/>
        <v>5086.308</v>
      </c>
      <c r="X42">
        <f t="shared" si="22"/>
        <v>8056.6720000000005</v>
      </c>
      <c r="Y42">
        <f t="shared" si="23"/>
        <v>4713.8670000000002</v>
      </c>
      <c r="Z42">
        <f t="shared" si="24"/>
        <v>6291.607</v>
      </c>
    </row>
    <row r="43" spans="1:26">
      <c r="B43">
        <f t="shared" si="1"/>
        <v>1165</v>
      </c>
      <c r="C43">
        <f t="shared" si="2"/>
        <v>5220</v>
      </c>
      <c r="D43">
        <f t="shared" si="3"/>
        <v>1025</v>
      </c>
      <c r="E43">
        <f t="shared" si="4"/>
        <v>919</v>
      </c>
      <c r="F43">
        <f t="shared" si="5"/>
        <v>878</v>
      </c>
      <c r="G43">
        <f t="shared" si="6"/>
        <v>1034</v>
      </c>
      <c r="H43">
        <f t="shared" si="7"/>
        <v>1511</v>
      </c>
      <c r="I43">
        <f t="shared" si="8"/>
        <v>1590</v>
      </c>
      <c r="J43">
        <f t="shared" si="9"/>
        <v>969</v>
      </c>
      <c r="K43">
        <f t="shared" si="10"/>
        <v>627</v>
      </c>
      <c r="L43">
        <f t="shared" si="11"/>
        <v>561</v>
      </c>
      <c r="O43">
        <f t="shared" si="13"/>
        <v>1384.5129999999999</v>
      </c>
      <c r="P43">
        <f t="shared" si="14"/>
        <v>3391.567</v>
      </c>
      <c r="Q43">
        <f t="shared" si="15"/>
        <v>1272.7429999999999</v>
      </c>
      <c r="R43">
        <f t="shared" si="16"/>
        <v>1722.3779999999999</v>
      </c>
      <c r="S43">
        <f t="shared" si="17"/>
        <v>1644.2570000000001</v>
      </c>
      <c r="T43">
        <f t="shared" si="18"/>
        <v>3109.866</v>
      </c>
      <c r="U43">
        <f t="shared" si="19"/>
        <v>3333.096</v>
      </c>
      <c r="V43">
        <f t="shared" si="20"/>
        <v>5158.3180000000002</v>
      </c>
      <c r="W43">
        <f t="shared" si="21"/>
        <v>6290.7380000000003</v>
      </c>
      <c r="X43">
        <f t="shared" si="22"/>
        <v>7126.7640000000001</v>
      </c>
    </row>
    <row r="44" spans="1:26">
      <c r="B44">
        <f t="shared" si="1"/>
        <v>1339</v>
      </c>
      <c r="C44">
        <f t="shared" si="2"/>
        <v>3920</v>
      </c>
      <c r="D44">
        <f t="shared" si="3"/>
        <v>741</v>
      </c>
      <c r="E44">
        <f t="shared" si="4"/>
        <v>771</v>
      </c>
      <c r="F44">
        <f t="shared" si="5"/>
        <v>807</v>
      </c>
      <c r="G44">
        <f t="shared" si="6"/>
        <v>898</v>
      </c>
      <c r="H44">
        <f t="shared" si="7"/>
        <v>1965</v>
      </c>
      <c r="I44">
        <f t="shared" si="8"/>
        <v>1859</v>
      </c>
      <c r="J44">
        <f t="shared" si="9"/>
        <v>705</v>
      </c>
      <c r="K44">
        <f t="shared" si="10"/>
        <v>711</v>
      </c>
      <c r="L44">
        <f t="shared" si="11"/>
        <v>1391</v>
      </c>
      <c r="P44">
        <f t="shared" si="14"/>
        <v>3022.3879999999999</v>
      </c>
      <c r="Q44">
        <f t="shared" si="15"/>
        <v>1577.8440000000001</v>
      </c>
      <c r="R44">
        <f t="shared" si="16"/>
        <v>1696.7719999999999</v>
      </c>
      <c r="S44">
        <f t="shared" si="17"/>
        <v>2010.1309999999999</v>
      </c>
      <c r="T44">
        <f t="shared" si="18"/>
        <v>3868.0830000000001</v>
      </c>
      <c r="U44">
        <f t="shared" si="19"/>
        <v>2597.942</v>
      </c>
      <c r="V44">
        <f t="shared" si="20"/>
        <v>4461.8990000000003</v>
      </c>
      <c r="W44">
        <f t="shared" si="21"/>
        <v>6585.009</v>
      </c>
    </row>
    <row r="45" spans="1:26">
      <c r="B45">
        <f t="shared" si="1"/>
        <v>1265</v>
      </c>
      <c r="C45">
        <f t="shared" si="2"/>
        <v>5665</v>
      </c>
      <c r="D45">
        <f t="shared" si="3"/>
        <v>928</v>
      </c>
      <c r="E45">
        <f t="shared" si="4"/>
        <v>840</v>
      </c>
      <c r="F45">
        <f t="shared" si="5"/>
        <v>1002</v>
      </c>
      <c r="G45">
        <f t="shared" si="6"/>
        <v>701</v>
      </c>
      <c r="H45">
        <f t="shared" si="7"/>
        <v>2371</v>
      </c>
      <c r="I45">
        <f t="shared" si="8"/>
        <v>2951</v>
      </c>
      <c r="J45">
        <f t="shared" si="9"/>
        <v>690</v>
      </c>
      <c r="K45">
        <f t="shared" si="10"/>
        <v>719</v>
      </c>
      <c r="L45">
        <f t="shared" si="11"/>
        <v>904</v>
      </c>
      <c r="Q45">
        <f t="shared" si="15"/>
        <v>1631.75</v>
      </c>
      <c r="R45">
        <f t="shared" si="16"/>
        <v>1539.24</v>
      </c>
      <c r="S45">
        <f t="shared" si="17"/>
        <v>1542.1790000000001</v>
      </c>
      <c r="T45">
        <f t="shared" si="18"/>
        <v>3107.663</v>
      </c>
      <c r="U45">
        <f t="shared" si="19"/>
        <v>3223.3670000000002</v>
      </c>
      <c r="V45">
        <f t="shared" si="20"/>
        <v>4790.0690000000004</v>
      </c>
      <c r="W45">
        <f t="shared" si="21"/>
        <v>5462.9030000000002</v>
      </c>
    </row>
    <row r="46" spans="1:26">
      <c r="B46">
        <f t="shared" si="1"/>
        <v>1429</v>
      </c>
      <c r="C46">
        <f t="shared" si="2"/>
        <v>2971</v>
      </c>
      <c r="E46">
        <f t="shared" si="4"/>
        <v>906</v>
      </c>
      <c r="F46">
        <f t="shared" si="5"/>
        <v>662</v>
      </c>
      <c r="G46">
        <f t="shared" si="6"/>
        <v>699</v>
      </c>
      <c r="I46">
        <f t="shared" si="8"/>
        <v>1617</v>
      </c>
      <c r="J46">
        <f t="shared" si="9"/>
        <v>1321</v>
      </c>
      <c r="K46">
        <f t="shared" si="10"/>
        <v>767</v>
      </c>
      <c r="L46">
        <f t="shared" si="11"/>
        <v>858</v>
      </c>
      <c r="S46">
        <f t="shared" si="17"/>
        <v>1293.96</v>
      </c>
      <c r="T46">
        <f t="shared" si="18"/>
        <v>3296.6390000000001</v>
      </c>
      <c r="V46">
        <f t="shared" si="20"/>
        <v>5376.7060000000001</v>
      </c>
    </row>
    <row r="47" spans="1:26">
      <c r="B47">
        <f t="shared" si="1"/>
        <v>1328</v>
      </c>
      <c r="C47">
        <f t="shared" si="2"/>
        <v>3352</v>
      </c>
      <c r="E47">
        <f t="shared" si="4"/>
        <v>875</v>
      </c>
      <c r="F47">
        <f t="shared" si="5"/>
        <v>445</v>
      </c>
      <c r="G47">
        <f t="shared" si="6"/>
        <v>1154</v>
      </c>
      <c r="I47">
        <f t="shared" si="8"/>
        <v>2465</v>
      </c>
      <c r="J47">
        <f t="shared" si="9"/>
        <v>1181</v>
      </c>
      <c r="K47">
        <f t="shared" si="10"/>
        <v>827</v>
      </c>
      <c r="L47">
        <f t="shared" si="11"/>
        <v>499</v>
      </c>
      <c r="S47">
        <f t="shared" si="17"/>
        <v>1323.306</v>
      </c>
      <c r="T47">
        <f t="shared" si="18"/>
        <v>3916.0120000000002</v>
      </c>
      <c r="V47">
        <f t="shared" si="20"/>
        <v>6134.299</v>
      </c>
    </row>
    <row r="48" spans="1:26">
      <c r="C48">
        <f t="shared" si="2"/>
        <v>3005</v>
      </c>
      <c r="F48">
        <f t="shared" si="5"/>
        <v>926</v>
      </c>
      <c r="I48">
        <f t="shared" si="8"/>
        <v>1990</v>
      </c>
      <c r="J48">
        <f t="shared" si="9"/>
        <v>1227</v>
      </c>
      <c r="K48">
        <f t="shared" si="10"/>
        <v>558</v>
      </c>
      <c r="L48">
        <f t="shared" si="11"/>
        <v>528</v>
      </c>
      <c r="T48">
        <f t="shared" si="18"/>
        <v>2109.0500000000002</v>
      </c>
      <c r="V48">
        <f t="shared" si="20"/>
        <v>4359.4179999999997</v>
      </c>
    </row>
    <row r="49" spans="1:26">
      <c r="I49">
        <f t="shared" si="8"/>
        <v>2082</v>
      </c>
      <c r="J49">
        <f t="shared" si="9"/>
        <v>1002</v>
      </c>
      <c r="K49">
        <f t="shared" si="10"/>
        <v>798</v>
      </c>
      <c r="T49">
        <f t="shared" si="18"/>
        <v>2392.1489999999999</v>
      </c>
      <c r="V49">
        <f t="shared" si="20"/>
        <v>4306.1589999999997</v>
      </c>
    </row>
    <row r="50" spans="1:26">
      <c r="I50">
        <f t="shared" si="8"/>
        <v>1469</v>
      </c>
      <c r="J50">
        <f t="shared" si="9"/>
        <v>1386</v>
      </c>
      <c r="K50">
        <f t="shared" si="10"/>
        <v>475</v>
      </c>
      <c r="T50">
        <f t="shared" si="18"/>
        <v>3870.009</v>
      </c>
      <c r="V50">
        <f t="shared" si="20"/>
        <v>5096.1360000000004</v>
      </c>
    </row>
    <row r="51" spans="1:26">
      <c r="I51">
        <f t="shared" si="8"/>
        <v>2168</v>
      </c>
      <c r="J51">
        <f t="shared" si="9"/>
        <v>1426</v>
      </c>
      <c r="K51">
        <f t="shared" si="10"/>
        <v>311</v>
      </c>
      <c r="T51">
        <f t="shared" si="18"/>
        <v>2362.73</v>
      </c>
      <c r="V51">
        <f t="shared" si="20"/>
        <v>4761.384</v>
      </c>
    </row>
    <row r="52" spans="1:26">
      <c r="J52">
        <f t="shared" si="9"/>
        <v>1338</v>
      </c>
      <c r="K52">
        <f t="shared" si="10"/>
        <v>458</v>
      </c>
      <c r="T52">
        <f t="shared" si="18"/>
        <v>3030.424</v>
      </c>
    </row>
    <row r="53" spans="1:26">
      <c r="K53">
        <f t="shared" si="10"/>
        <v>757</v>
      </c>
      <c r="T53">
        <f t="shared" si="18"/>
        <v>1944.5590000000002</v>
      </c>
    </row>
    <row r="54" spans="1:26">
      <c r="K54">
        <f t="shared" si="10"/>
        <v>318</v>
      </c>
      <c r="T54">
        <f t="shared" si="18"/>
        <v>2184.5619999999999</v>
      </c>
    </row>
    <row r="55" spans="1:26">
      <c r="K55">
        <f t="shared" si="10"/>
        <v>663</v>
      </c>
      <c r="T55">
        <f t="shared" si="18"/>
        <v>2691.8220000000001</v>
      </c>
    </row>
    <row r="56" spans="1:26">
      <c r="K56">
        <f t="shared" si="10"/>
        <v>701</v>
      </c>
    </row>
    <row r="57" spans="1:26">
      <c r="A57" t="s">
        <v>12</v>
      </c>
      <c r="B57">
        <f>AVERAGE(B39:B52)</f>
        <v>1348</v>
      </c>
      <c r="C57">
        <f t="shared" ref="C57:Z57" si="25">AVERAGE(C39:C52)</f>
        <v>3404.2</v>
      </c>
      <c r="D57">
        <f t="shared" si="25"/>
        <v>829.28571428571433</v>
      </c>
      <c r="E57">
        <f t="shared" si="25"/>
        <v>757.55555555555554</v>
      </c>
      <c r="F57">
        <f t="shared" si="25"/>
        <v>700.5</v>
      </c>
      <c r="G57">
        <f t="shared" si="25"/>
        <v>921.77777777777783</v>
      </c>
      <c r="H57">
        <f>AVERAGE(H39:H55)</f>
        <v>1835.5714285714287</v>
      </c>
      <c r="I57">
        <f t="shared" si="25"/>
        <v>2031.9230769230769</v>
      </c>
      <c r="J57">
        <f t="shared" si="25"/>
        <v>1082.2142857142858</v>
      </c>
      <c r="K57">
        <f>AVERAGE(K39:K56)</f>
        <v>583.44444444444446</v>
      </c>
      <c r="L57">
        <f t="shared" si="25"/>
        <v>734.6</v>
      </c>
      <c r="M57">
        <f t="shared" si="25"/>
        <v>173.5</v>
      </c>
      <c r="O57">
        <f t="shared" si="25"/>
        <v>1281.6307999999999</v>
      </c>
      <c r="P57">
        <f t="shared" si="25"/>
        <v>2864.5969999999998</v>
      </c>
      <c r="Q57">
        <f t="shared" si="25"/>
        <v>1607.2151428571431</v>
      </c>
      <c r="R57">
        <f t="shared" si="25"/>
        <v>1748.3682857142855</v>
      </c>
      <c r="S57">
        <f t="shared" si="25"/>
        <v>1876.8609999999999</v>
      </c>
      <c r="T57">
        <f t="shared" si="25"/>
        <v>3056.2553571428571</v>
      </c>
      <c r="U57">
        <f t="shared" si="25"/>
        <v>3405.7412857142854</v>
      </c>
      <c r="V57">
        <f t="shared" si="25"/>
        <v>5019.246538461538</v>
      </c>
      <c r="W57">
        <f t="shared" si="25"/>
        <v>6984.4085714285702</v>
      </c>
      <c r="X57">
        <f t="shared" si="25"/>
        <v>7323.1286000000009</v>
      </c>
      <c r="Y57">
        <f t="shared" si="25"/>
        <v>5469.4685000000009</v>
      </c>
      <c r="Z57">
        <f t="shared" si="25"/>
        <v>5903.2332500000002</v>
      </c>
    </row>
    <row r="58" spans="1:26">
      <c r="A58" t="s">
        <v>13</v>
      </c>
      <c r="B58">
        <f>STDEV(B39:B52)</f>
        <v>209.9309410258526</v>
      </c>
      <c r="C58">
        <f t="shared" ref="C58:Z58" si="26">STDEV(C39:C52)</f>
        <v>1188.8001233737036</v>
      </c>
      <c r="D58">
        <f t="shared" si="26"/>
        <v>128.4169177402444</v>
      </c>
      <c r="E58">
        <f t="shared" si="26"/>
        <v>206.08439479440881</v>
      </c>
      <c r="F58">
        <f t="shared" si="26"/>
        <v>269.80867706992342</v>
      </c>
      <c r="G58">
        <f t="shared" si="26"/>
        <v>163.12554810465619</v>
      </c>
      <c r="H58">
        <f>STDEV(H39:H55)</f>
        <v>276.91506347786884</v>
      </c>
      <c r="I58">
        <f t="shared" si="26"/>
        <v>420.88348774501719</v>
      </c>
      <c r="J58">
        <f t="shared" si="26"/>
        <v>288.37186957960222</v>
      </c>
      <c r="K58">
        <f>STDEV(K39:K56)</f>
        <v>175.51645547865542</v>
      </c>
      <c r="L58">
        <f t="shared" si="26"/>
        <v>320.74849960677921</v>
      </c>
      <c r="M58">
        <f t="shared" si="26"/>
        <v>157.33721746617994</v>
      </c>
      <c r="O58">
        <f t="shared" si="26"/>
        <v>270.4468067406234</v>
      </c>
      <c r="P58">
        <f t="shared" si="26"/>
        <v>411.85890445588461</v>
      </c>
      <c r="Q58">
        <f t="shared" si="26"/>
        <v>194.24425414361352</v>
      </c>
      <c r="R58">
        <f t="shared" si="26"/>
        <v>227.03881000445367</v>
      </c>
      <c r="S58">
        <f t="shared" si="26"/>
        <v>547.7222142669583</v>
      </c>
      <c r="T58">
        <f t="shared" si="26"/>
        <v>697.93574344420688</v>
      </c>
      <c r="U58">
        <f t="shared" si="26"/>
        <v>766.25000082973781</v>
      </c>
      <c r="V58">
        <f t="shared" si="26"/>
        <v>569.02798661220743</v>
      </c>
      <c r="W58">
        <f t="shared" si="26"/>
        <v>1542.5059055562708</v>
      </c>
      <c r="X58">
        <f t="shared" si="26"/>
        <v>684.13168249745627</v>
      </c>
      <c r="Y58">
        <f t="shared" si="26"/>
        <v>717.27835361384439</v>
      </c>
      <c r="Z58">
        <f t="shared" si="26"/>
        <v>764.95599108984993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selection activeCell="O38" sqref="O38:Z38"/>
    </sheetView>
  </sheetViews>
  <sheetFormatPr baseColWidth="10" defaultRowHeight="15" x14ac:dyDescent="0"/>
  <cols>
    <col min="1" max="1" width="31.83203125" customWidth="1"/>
  </cols>
  <sheetData>
    <row r="1" spans="1:26">
      <c r="A1" t="s">
        <v>118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1587</v>
      </c>
      <c r="C2">
        <v>3598</v>
      </c>
      <c r="D2">
        <v>1159</v>
      </c>
      <c r="E2">
        <v>1194</v>
      </c>
      <c r="F2">
        <v>1430</v>
      </c>
      <c r="G2">
        <v>1937</v>
      </c>
      <c r="H2">
        <v>2607</v>
      </c>
      <c r="I2">
        <v>2381</v>
      </c>
      <c r="J2">
        <v>1866</v>
      </c>
      <c r="K2">
        <v>1003</v>
      </c>
      <c r="L2">
        <v>596</v>
      </c>
      <c r="M2">
        <v>438</v>
      </c>
      <c r="O2">
        <v>1351</v>
      </c>
      <c r="P2" s="3">
        <v>2139.172</v>
      </c>
      <c r="Q2">
        <v>913</v>
      </c>
      <c r="R2">
        <v>1353</v>
      </c>
      <c r="S2">
        <v>2272</v>
      </c>
      <c r="T2">
        <v>3339</v>
      </c>
      <c r="U2">
        <v>2379</v>
      </c>
      <c r="V2">
        <v>4337</v>
      </c>
      <c r="W2">
        <v>5197.8900000000003</v>
      </c>
      <c r="X2">
        <v>5067.6180000000004</v>
      </c>
      <c r="Y2">
        <v>4148.558</v>
      </c>
      <c r="Z2">
        <v>5393.7280000000001</v>
      </c>
    </row>
    <row r="3" spans="1:26">
      <c r="B3">
        <v>2206</v>
      </c>
      <c r="C3">
        <v>3781</v>
      </c>
      <c r="D3">
        <v>1397</v>
      </c>
      <c r="E3">
        <v>1011</v>
      </c>
      <c r="F3">
        <v>1694</v>
      </c>
      <c r="G3">
        <v>1989</v>
      </c>
      <c r="H3">
        <v>2559</v>
      </c>
      <c r="I3">
        <v>2945</v>
      </c>
      <c r="J3">
        <v>1920</v>
      </c>
      <c r="K3">
        <v>805</v>
      </c>
      <c r="L3">
        <v>787</v>
      </c>
      <c r="M3">
        <v>517</v>
      </c>
      <c r="O3">
        <v>1330</v>
      </c>
      <c r="P3" s="3">
        <v>2300.75</v>
      </c>
      <c r="Q3">
        <v>1692</v>
      </c>
      <c r="R3">
        <v>958</v>
      </c>
      <c r="S3">
        <v>2084</v>
      </c>
      <c r="T3">
        <v>2290</v>
      </c>
      <c r="U3">
        <v>3282</v>
      </c>
      <c r="V3">
        <v>4410</v>
      </c>
      <c r="W3">
        <v>5132.5320000000002</v>
      </c>
      <c r="X3">
        <v>4023.223</v>
      </c>
      <c r="Y3">
        <v>3704.6280000000002</v>
      </c>
      <c r="Z3">
        <v>4622.3339999999998</v>
      </c>
    </row>
    <row r="4" spans="1:26">
      <c r="B4">
        <v>2068</v>
      </c>
      <c r="C4">
        <v>2682</v>
      </c>
      <c r="D4">
        <v>1284</v>
      </c>
      <c r="E4">
        <v>916</v>
      </c>
      <c r="F4">
        <v>1176</v>
      </c>
      <c r="G4">
        <v>1298</v>
      </c>
      <c r="H4">
        <v>2013</v>
      </c>
      <c r="I4">
        <v>2886</v>
      </c>
      <c r="J4">
        <v>1238</v>
      </c>
      <c r="K4">
        <v>910</v>
      </c>
      <c r="L4">
        <v>685</v>
      </c>
      <c r="M4">
        <v>461</v>
      </c>
      <c r="O4">
        <v>2301</v>
      </c>
      <c r="P4" s="3">
        <v>3654.6089999999999</v>
      </c>
      <c r="Q4">
        <v>1278</v>
      </c>
      <c r="R4">
        <v>1282</v>
      </c>
      <c r="S4">
        <v>1716</v>
      </c>
      <c r="T4">
        <v>3592</v>
      </c>
      <c r="U4">
        <v>4323</v>
      </c>
      <c r="V4">
        <v>6398</v>
      </c>
      <c r="W4">
        <v>6380.0039999999999</v>
      </c>
      <c r="X4">
        <v>5359.69</v>
      </c>
      <c r="Y4">
        <v>4278.5479999999998</v>
      </c>
    </row>
    <row r="5" spans="1:26">
      <c r="B5">
        <v>2115</v>
      </c>
      <c r="C5">
        <v>3492</v>
      </c>
      <c r="D5">
        <v>1733</v>
      </c>
      <c r="E5">
        <v>908</v>
      </c>
      <c r="F5">
        <v>1370</v>
      </c>
      <c r="G5">
        <v>1912</v>
      </c>
      <c r="H5">
        <v>2105</v>
      </c>
      <c r="I5">
        <v>2386</v>
      </c>
      <c r="J5">
        <v>1632</v>
      </c>
      <c r="K5">
        <v>898</v>
      </c>
      <c r="L5">
        <v>801</v>
      </c>
      <c r="M5">
        <v>392</v>
      </c>
      <c r="O5">
        <v>1385</v>
      </c>
      <c r="P5" s="3">
        <v>2075.1709999999998</v>
      </c>
      <c r="Q5">
        <v>1391</v>
      </c>
      <c r="R5">
        <v>1622</v>
      </c>
      <c r="S5">
        <v>1931</v>
      </c>
      <c r="T5">
        <v>3464</v>
      </c>
      <c r="U5">
        <v>3863</v>
      </c>
      <c r="V5">
        <v>6094</v>
      </c>
      <c r="W5">
        <v>6235.07</v>
      </c>
      <c r="Y5">
        <v>3741.2310000000002</v>
      </c>
    </row>
    <row r="6" spans="1:26">
      <c r="B6">
        <v>1750</v>
      </c>
      <c r="C6">
        <v>2732</v>
      </c>
      <c r="D6">
        <v>1475</v>
      </c>
      <c r="E6">
        <v>1137</v>
      </c>
      <c r="F6">
        <v>1759</v>
      </c>
      <c r="G6">
        <v>2217</v>
      </c>
      <c r="H6">
        <v>2293</v>
      </c>
      <c r="I6">
        <v>3052</v>
      </c>
      <c r="J6">
        <v>975</v>
      </c>
      <c r="K6">
        <v>1092</v>
      </c>
      <c r="L6">
        <v>450</v>
      </c>
      <c r="M6">
        <v>516</v>
      </c>
      <c r="O6">
        <v>1775</v>
      </c>
      <c r="P6" s="3">
        <v>2302.4670000000001</v>
      </c>
      <c r="Q6">
        <v>1426</v>
      </c>
      <c r="R6">
        <v>1483</v>
      </c>
      <c r="S6">
        <v>2992</v>
      </c>
      <c r="T6">
        <v>2659</v>
      </c>
      <c r="U6">
        <v>4512</v>
      </c>
      <c r="V6">
        <v>4856</v>
      </c>
      <c r="W6">
        <v>4371.8670000000002</v>
      </c>
    </row>
    <row r="7" spans="1:26">
      <c r="B7">
        <v>1749</v>
      </c>
      <c r="C7">
        <v>3475</v>
      </c>
      <c r="D7">
        <v>1342</v>
      </c>
      <c r="E7">
        <v>1278</v>
      </c>
      <c r="F7">
        <v>1633</v>
      </c>
      <c r="G7">
        <v>2656</v>
      </c>
      <c r="H7">
        <v>2019</v>
      </c>
      <c r="I7">
        <v>3762</v>
      </c>
      <c r="J7">
        <v>1234</v>
      </c>
      <c r="K7">
        <v>740</v>
      </c>
      <c r="L7">
        <v>514</v>
      </c>
      <c r="M7">
        <v>451</v>
      </c>
      <c r="P7" s="3">
        <v>2432.4430000000002</v>
      </c>
      <c r="Q7">
        <v>1273</v>
      </c>
      <c r="R7">
        <v>1338</v>
      </c>
      <c r="S7">
        <v>2262</v>
      </c>
      <c r="T7">
        <v>2558</v>
      </c>
      <c r="V7">
        <v>5291</v>
      </c>
      <c r="W7">
        <v>4208.2839999999997</v>
      </c>
    </row>
    <row r="8" spans="1:26">
      <c r="B8">
        <v>1412</v>
      </c>
      <c r="D8">
        <v>1147</v>
      </c>
      <c r="E8">
        <v>1368</v>
      </c>
      <c r="F8">
        <v>1657</v>
      </c>
      <c r="G8">
        <v>2496</v>
      </c>
      <c r="H8">
        <v>2647</v>
      </c>
      <c r="I8">
        <v>2358</v>
      </c>
      <c r="J8">
        <v>1623</v>
      </c>
      <c r="K8">
        <v>827</v>
      </c>
      <c r="L8">
        <v>917</v>
      </c>
      <c r="M8">
        <v>499</v>
      </c>
      <c r="P8" s="3">
        <v>2673.7440000000001</v>
      </c>
      <c r="Q8">
        <v>1776</v>
      </c>
      <c r="R8">
        <v>1349</v>
      </c>
      <c r="S8">
        <v>2739</v>
      </c>
      <c r="T8">
        <v>2102</v>
      </c>
      <c r="V8">
        <v>4471</v>
      </c>
      <c r="W8">
        <v>6680.0910000000003</v>
      </c>
    </row>
    <row r="9" spans="1:26">
      <c r="B9">
        <v>1421</v>
      </c>
      <c r="E9">
        <v>1005</v>
      </c>
      <c r="F9">
        <v>1338</v>
      </c>
      <c r="G9">
        <v>1661</v>
      </c>
      <c r="H9">
        <v>2226</v>
      </c>
      <c r="I9">
        <v>2371</v>
      </c>
      <c r="J9">
        <v>1626</v>
      </c>
      <c r="K9">
        <v>1067</v>
      </c>
      <c r="L9">
        <v>537</v>
      </c>
      <c r="M9">
        <v>384</v>
      </c>
      <c r="P9" s="3">
        <v>2042.0540000000001</v>
      </c>
      <c r="R9">
        <v>1541</v>
      </c>
      <c r="S9">
        <v>1329</v>
      </c>
      <c r="T9">
        <v>2552</v>
      </c>
      <c r="V9">
        <v>4957</v>
      </c>
      <c r="W9">
        <v>5118.66</v>
      </c>
    </row>
    <row r="10" spans="1:26">
      <c r="E10">
        <v>826</v>
      </c>
      <c r="F10">
        <v>1901</v>
      </c>
      <c r="G10">
        <v>1741</v>
      </c>
      <c r="H10">
        <v>2225</v>
      </c>
      <c r="I10">
        <v>2582</v>
      </c>
      <c r="J10">
        <v>1652</v>
      </c>
      <c r="K10">
        <v>1095</v>
      </c>
      <c r="L10">
        <v>682</v>
      </c>
      <c r="M10">
        <v>369</v>
      </c>
      <c r="P10" s="3">
        <v>2213.25</v>
      </c>
      <c r="R10">
        <v>1758</v>
      </c>
      <c r="S10">
        <v>2200</v>
      </c>
      <c r="T10">
        <v>2580</v>
      </c>
      <c r="W10">
        <v>6775.5569999999998</v>
      </c>
    </row>
    <row r="11" spans="1:26">
      <c r="F11">
        <v>1292</v>
      </c>
      <c r="G11">
        <v>1641</v>
      </c>
      <c r="H11">
        <v>2528</v>
      </c>
      <c r="I11">
        <v>2717</v>
      </c>
      <c r="J11">
        <v>1958</v>
      </c>
      <c r="K11">
        <v>798</v>
      </c>
      <c r="L11">
        <v>915</v>
      </c>
      <c r="P11" s="3">
        <v>2389.1489999999999</v>
      </c>
      <c r="T11">
        <v>2344</v>
      </c>
      <c r="W11">
        <v>5630.62</v>
      </c>
    </row>
    <row r="12" spans="1:26">
      <c r="F12">
        <v>1314</v>
      </c>
      <c r="G12">
        <v>2591</v>
      </c>
      <c r="I12">
        <v>2734</v>
      </c>
      <c r="J12">
        <v>1758</v>
      </c>
      <c r="K12">
        <v>724</v>
      </c>
      <c r="L12">
        <v>512</v>
      </c>
      <c r="P12" s="3">
        <v>2528.614</v>
      </c>
      <c r="T12">
        <v>2476</v>
      </c>
      <c r="W12">
        <v>4971.6059999999998</v>
      </c>
    </row>
    <row r="13" spans="1:26">
      <c r="F13">
        <v>1426</v>
      </c>
      <c r="G13">
        <v>1794</v>
      </c>
      <c r="I13">
        <v>2741</v>
      </c>
      <c r="J13">
        <v>1283</v>
      </c>
      <c r="K13">
        <v>973</v>
      </c>
      <c r="L13">
        <v>504</v>
      </c>
      <c r="P13" s="3">
        <v>2786.1</v>
      </c>
      <c r="T13">
        <v>2370</v>
      </c>
      <c r="W13">
        <v>4932.8249999999998</v>
      </c>
    </row>
    <row r="14" spans="1:26">
      <c r="G14">
        <v>1808</v>
      </c>
      <c r="I14">
        <v>2264</v>
      </c>
      <c r="J14">
        <v>1548</v>
      </c>
      <c r="K14">
        <v>817</v>
      </c>
      <c r="L14">
        <v>609</v>
      </c>
      <c r="W14">
        <v>6759.7839999999997</v>
      </c>
    </row>
    <row r="15" spans="1:26">
      <c r="G15">
        <v>1360</v>
      </c>
      <c r="I15">
        <v>2645</v>
      </c>
      <c r="J15">
        <v>931</v>
      </c>
      <c r="K15">
        <v>1178</v>
      </c>
      <c r="L15">
        <v>499</v>
      </c>
      <c r="W15">
        <v>4905.1369999999997</v>
      </c>
    </row>
    <row r="16" spans="1:26">
      <c r="I16">
        <v>2053</v>
      </c>
      <c r="J16">
        <v>1367</v>
      </c>
      <c r="K16">
        <v>948</v>
      </c>
    </row>
    <row r="17" spans="1:26">
      <c r="K17">
        <v>941</v>
      </c>
    </row>
    <row r="18" spans="1:26">
      <c r="K18">
        <v>744</v>
      </c>
    </row>
    <row r="19" spans="1:26">
      <c r="K19">
        <v>712</v>
      </c>
    </row>
    <row r="21" spans="1:26">
      <c r="A21" t="s">
        <v>119</v>
      </c>
      <c r="B21">
        <v>152</v>
      </c>
      <c r="C21">
        <v>160</v>
      </c>
      <c r="D21">
        <v>159</v>
      </c>
      <c r="E21">
        <v>189</v>
      </c>
      <c r="F21">
        <v>315</v>
      </c>
      <c r="G21">
        <v>223</v>
      </c>
      <c r="H21">
        <v>427</v>
      </c>
      <c r="I21">
        <v>493</v>
      </c>
      <c r="J21">
        <v>365</v>
      </c>
      <c r="K21">
        <v>327</v>
      </c>
      <c r="L21">
        <v>243</v>
      </c>
      <c r="M21">
        <v>252</v>
      </c>
      <c r="O21">
        <v>188</v>
      </c>
      <c r="P21">
        <v>195</v>
      </c>
      <c r="Q21">
        <v>259</v>
      </c>
      <c r="R21">
        <v>287</v>
      </c>
      <c r="S21">
        <v>692</v>
      </c>
      <c r="T21">
        <v>339</v>
      </c>
      <c r="U21">
        <v>880</v>
      </c>
      <c r="V21">
        <v>1520</v>
      </c>
      <c r="W21">
        <v>1569</v>
      </c>
      <c r="X21">
        <v>1041</v>
      </c>
      <c r="Y21">
        <v>979</v>
      </c>
      <c r="Z21">
        <v>537</v>
      </c>
    </row>
    <row r="22" spans="1:26">
      <c r="B22">
        <v>197</v>
      </c>
      <c r="C22">
        <v>182</v>
      </c>
      <c r="D22">
        <v>200</v>
      </c>
      <c r="E22">
        <v>174</v>
      </c>
      <c r="F22">
        <v>221</v>
      </c>
      <c r="G22">
        <v>351</v>
      </c>
      <c r="H22">
        <v>415</v>
      </c>
      <c r="I22">
        <v>488</v>
      </c>
      <c r="J22">
        <v>253</v>
      </c>
      <c r="K22">
        <v>324</v>
      </c>
      <c r="L22">
        <v>336</v>
      </c>
      <c r="M22">
        <v>204</v>
      </c>
      <c r="O22">
        <v>213</v>
      </c>
      <c r="P22">
        <v>161</v>
      </c>
      <c r="Q22">
        <v>202</v>
      </c>
      <c r="R22">
        <v>246</v>
      </c>
      <c r="S22">
        <v>546</v>
      </c>
      <c r="T22">
        <v>660</v>
      </c>
      <c r="U22">
        <v>1100</v>
      </c>
      <c r="V22">
        <v>1453</v>
      </c>
      <c r="W22">
        <v>911</v>
      </c>
      <c r="X22">
        <v>926</v>
      </c>
      <c r="Y22">
        <v>766</v>
      </c>
    </row>
    <row r="23" spans="1:26">
      <c r="B23">
        <v>171</v>
      </c>
      <c r="C23">
        <v>183</v>
      </c>
      <c r="D23">
        <v>172</v>
      </c>
      <c r="E23">
        <v>177</v>
      </c>
      <c r="F23">
        <v>321</v>
      </c>
      <c r="G23">
        <v>375</v>
      </c>
      <c r="H23">
        <v>429</v>
      </c>
      <c r="I23">
        <v>494</v>
      </c>
      <c r="J23">
        <v>285</v>
      </c>
      <c r="K23">
        <v>336</v>
      </c>
      <c r="L23">
        <v>255</v>
      </c>
      <c r="M23">
        <v>238</v>
      </c>
      <c r="O23">
        <v>144</v>
      </c>
      <c r="P23">
        <v>281</v>
      </c>
      <c r="Q23">
        <v>235</v>
      </c>
      <c r="R23">
        <v>226</v>
      </c>
      <c r="S23">
        <v>244</v>
      </c>
      <c r="T23">
        <v>672</v>
      </c>
      <c r="U23">
        <v>589</v>
      </c>
      <c r="V23">
        <v>1556</v>
      </c>
      <c r="W23">
        <v>2168</v>
      </c>
      <c r="X23">
        <v>1164</v>
      </c>
      <c r="Y23">
        <v>724</v>
      </c>
    </row>
    <row r="24" spans="1:26">
      <c r="B24">
        <v>191</v>
      </c>
      <c r="D24">
        <v>207</v>
      </c>
      <c r="E24">
        <v>176</v>
      </c>
      <c r="F24">
        <v>258</v>
      </c>
      <c r="G24">
        <v>340</v>
      </c>
      <c r="H24">
        <v>496</v>
      </c>
      <c r="I24">
        <v>401</v>
      </c>
      <c r="J24">
        <v>341</v>
      </c>
      <c r="K24">
        <v>302</v>
      </c>
      <c r="L24">
        <v>243</v>
      </c>
      <c r="M24">
        <v>211</v>
      </c>
      <c r="O24">
        <v>177</v>
      </c>
      <c r="P24">
        <v>170</v>
      </c>
      <c r="Q24">
        <v>182</v>
      </c>
      <c r="R24">
        <v>228</v>
      </c>
      <c r="S24">
        <v>436</v>
      </c>
      <c r="T24">
        <v>430</v>
      </c>
      <c r="U24">
        <v>960</v>
      </c>
      <c r="V24">
        <v>1708</v>
      </c>
      <c r="W24">
        <v>1403</v>
      </c>
      <c r="X24">
        <v>1184</v>
      </c>
    </row>
    <row r="25" spans="1:26">
      <c r="L25">
        <v>261</v>
      </c>
      <c r="S25">
        <v>269</v>
      </c>
      <c r="T25">
        <v>348</v>
      </c>
      <c r="U25">
        <v>898</v>
      </c>
      <c r="V25">
        <v>1640</v>
      </c>
      <c r="W25">
        <v>1911</v>
      </c>
      <c r="X25">
        <v>2375</v>
      </c>
    </row>
    <row r="26" spans="1:26">
      <c r="T26">
        <v>363</v>
      </c>
      <c r="V26">
        <v>1563</v>
      </c>
      <c r="W26">
        <v>2012</v>
      </c>
      <c r="X26">
        <v>1060</v>
      </c>
    </row>
    <row r="27" spans="1:26">
      <c r="V27">
        <v>1454</v>
      </c>
      <c r="W27">
        <v>2100</v>
      </c>
    </row>
    <row r="35" spans="1:26" s="1" customFormat="1">
      <c r="A35" s="1" t="s">
        <v>110</v>
      </c>
      <c r="B35" s="1">
        <f>AVERAGE(B21:B33)</f>
        <v>177.75</v>
      </c>
      <c r="C35" s="1">
        <f t="shared" ref="C35:Z35" si="0">AVERAGE(C21:C33)</f>
        <v>175</v>
      </c>
      <c r="D35" s="1">
        <f t="shared" si="0"/>
        <v>184.5</v>
      </c>
      <c r="E35" s="1">
        <f t="shared" si="0"/>
        <v>179</v>
      </c>
      <c r="F35" s="1">
        <f t="shared" si="0"/>
        <v>278.75</v>
      </c>
      <c r="G35" s="1">
        <f t="shared" si="0"/>
        <v>322.25</v>
      </c>
      <c r="H35" s="1">
        <f t="shared" si="0"/>
        <v>441.75</v>
      </c>
      <c r="I35" s="1">
        <f t="shared" si="0"/>
        <v>469</v>
      </c>
      <c r="J35" s="1">
        <f t="shared" si="0"/>
        <v>311</v>
      </c>
      <c r="K35" s="1">
        <f t="shared" si="0"/>
        <v>322.25</v>
      </c>
      <c r="L35" s="1">
        <f t="shared" si="0"/>
        <v>267.60000000000002</v>
      </c>
      <c r="M35" s="1">
        <f t="shared" si="0"/>
        <v>226.25</v>
      </c>
      <c r="O35" s="1">
        <f t="shared" si="0"/>
        <v>180.5</v>
      </c>
      <c r="P35" s="1">
        <f t="shared" si="0"/>
        <v>201.75</v>
      </c>
      <c r="Q35" s="1">
        <f t="shared" si="0"/>
        <v>219.5</v>
      </c>
      <c r="R35" s="1">
        <f t="shared" si="0"/>
        <v>246.75</v>
      </c>
      <c r="S35" s="1">
        <f t="shared" si="0"/>
        <v>437.4</v>
      </c>
      <c r="T35" s="1">
        <f t="shared" si="0"/>
        <v>468.66666666666669</v>
      </c>
      <c r="U35" s="1">
        <f t="shared" si="0"/>
        <v>885.4</v>
      </c>
      <c r="V35" s="1">
        <f t="shared" si="0"/>
        <v>1556.2857142857142</v>
      </c>
      <c r="W35" s="1">
        <f t="shared" si="0"/>
        <v>1724.8571428571429</v>
      </c>
      <c r="X35" s="1">
        <f t="shared" si="0"/>
        <v>1291.6666666666667</v>
      </c>
      <c r="Y35" s="1">
        <f t="shared" si="0"/>
        <v>823</v>
      </c>
      <c r="Z35" s="1">
        <f t="shared" si="0"/>
        <v>537</v>
      </c>
    </row>
    <row r="38" spans="1:26">
      <c r="A38" t="s">
        <v>120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48</v>
      </c>
      <c r="P38" t="s">
        <v>49</v>
      </c>
      <c r="Q38" t="s">
        <v>50</v>
      </c>
      <c r="R38" t="s">
        <v>51</v>
      </c>
      <c r="S38" t="s">
        <v>52</v>
      </c>
      <c r="T38" t="s">
        <v>53</v>
      </c>
      <c r="U38" t="s">
        <v>54</v>
      </c>
      <c r="V38" t="s">
        <v>55</v>
      </c>
      <c r="W38" t="s">
        <v>56</v>
      </c>
      <c r="X38" t="s">
        <v>57</v>
      </c>
      <c r="Y38" t="s">
        <v>58</v>
      </c>
      <c r="Z38" t="s">
        <v>59</v>
      </c>
    </row>
    <row r="39" spans="1:26">
      <c r="B39">
        <f>B2-178</f>
        <v>1409</v>
      </c>
      <c r="C39">
        <f>C2-175</f>
        <v>3423</v>
      </c>
      <c r="D39">
        <f>D2-185</f>
        <v>974</v>
      </c>
      <c r="E39">
        <f>E2-179</f>
        <v>1015</v>
      </c>
      <c r="F39">
        <f>F2-279</f>
        <v>1151</v>
      </c>
      <c r="G39">
        <f>G2-322</f>
        <v>1615</v>
      </c>
      <c r="H39">
        <f>H2-442</f>
        <v>2165</v>
      </c>
      <c r="I39">
        <f>I2-469</f>
        <v>1912</v>
      </c>
      <c r="J39">
        <f>J2-311</f>
        <v>1555</v>
      </c>
      <c r="K39">
        <f>K2-322</f>
        <v>681</v>
      </c>
      <c r="L39">
        <f>L2-268</f>
        <v>328</v>
      </c>
      <c r="M39">
        <f>M2-226</f>
        <v>212</v>
      </c>
      <c r="O39">
        <f>O2-181</f>
        <v>1170</v>
      </c>
      <c r="P39">
        <f>P2-202</f>
        <v>1937.172</v>
      </c>
      <c r="Q39">
        <f>Q2-220</f>
        <v>693</v>
      </c>
      <c r="R39">
        <f>R2-247</f>
        <v>1106</v>
      </c>
      <c r="S39">
        <f>S2-437</f>
        <v>1835</v>
      </c>
      <c r="T39">
        <f>T2-469</f>
        <v>2870</v>
      </c>
      <c r="U39">
        <f>U2-885</f>
        <v>1494</v>
      </c>
      <c r="V39">
        <f>V2-1556</f>
        <v>2781</v>
      </c>
      <c r="W39">
        <f>W2-1725</f>
        <v>3472.8900000000003</v>
      </c>
      <c r="X39">
        <f>X2-1292</f>
        <v>3775.6180000000004</v>
      </c>
      <c r="Y39">
        <f>Y2-823</f>
        <v>3325.558</v>
      </c>
      <c r="Z39">
        <f>Z2-537</f>
        <v>4856.7280000000001</v>
      </c>
    </row>
    <row r="40" spans="1:26">
      <c r="B40">
        <f t="shared" ref="B40:B46" si="1">B3-178</f>
        <v>2028</v>
      </c>
      <c r="C40">
        <f t="shared" ref="C40:C44" si="2">C3-175</f>
        <v>3606</v>
      </c>
      <c r="D40">
        <f t="shared" ref="D40:D45" si="3">D3-185</f>
        <v>1212</v>
      </c>
      <c r="E40">
        <f t="shared" ref="E40:E47" si="4">E3-179</f>
        <v>832</v>
      </c>
      <c r="F40">
        <f t="shared" ref="F40:F50" si="5">F3-279</f>
        <v>1415</v>
      </c>
      <c r="G40">
        <f t="shared" ref="G40:G52" si="6">G3-322</f>
        <v>1667</v>
      </c>
      <c r="H40">
        <f t="shared" ref="H40:H48" si="7">H3-442</f>
        <v>2117</v>
      </c>
      <c r="I40">
        <f t="shared" ref="I40:I53" si="8">I3-469</f>
        <v>2476</v>
      </c>
      <c r="J40">
        <f t="shared" ref="J40:J53" si="9">J3-311</f>
        <v>1609</v>
      </c>
      <c r="K40">
        <f t="shared" ref="K40:K55" si="10">K3-322</f>
        <v>483</v>
      </c>
      <c r="L40">
        <f t="shared" ref="L40:L52" si="11">L3-268</f>
        <v>519</v>
      </c>
      <c r="M40">
        <f t="shared" ref="M40:M47" si="12">M3-226</f>
        <v>291</v>
      </c>
      <c r="O40">
        <f t="shared" ref="O40:O43" si="13">O3-181</f>
        <v>1149</v>
      </c>
      <c r="P40">
        <f t="shared" ref="P40:P50" si="14">P3-202</f>
        <v>2098.75</v>
      </c>
      <c r="Q40">
        <f t="shared" ref="Q40:Q45" si="15">Q3-220</f>
        <v>1472</v>
      </c>
      <c r="R40">
        <f t="shared" ref="R40:R47" si="16">R3-247</f>
        <v>711</v>
      </c>
      <c r="S40">
        <f t="shared" ref="S40:S47" si="17">S3-437</f>
        <v>1647</v>
      </c>
      <c r="T40">
        <f t="shared" ref="T40:T50" si="18">T3-469</f>
        <v>1821</v>
      </c>
      <c r="U40">
        <f t="shared" ref="U40:U43" si="19">U3-885</f>
        <v>2397</v>
      </c>
      <c r="V40">
        <f t="shared" ref="V40:V46" si="20">V3-1556</f>
        <v>2854</v>
      </c>
      <c r="W40">
        <f t="shared" ref="W40:W52" si="21">W3-1725</f>
        <v>3407.5320000000002</v>
      </c>
      <c r="X40">
        <f t="shared" ref="X40:X41" si="22">X3-1292</f>
        <v>2731.223</v>
      </c>
      <c r="Y40">
        <f t="shared" ref="Y40:Y42" si="23">Y3-823</f>
        <v>2881.6280000000002</v>
      </c>
      <c r="Z40">
        <f>Z3-537</f>
        <v>4085.3339999999998</v>
      </c>
    </row>
    <row r="41" spans="1:26">
      <c r="B41">
        <f t="shared" si="1"/>
        <v>1890</v>
      </c>
      <c r="C41">
        <f t="shared" si="2"/>
        <v>2507</v>
      </c>
      <c r="D41">
        <f t="shared" si="3"/>
        <v>1099</v>
      </c>
      <c r="E41">
        <f t="shared" si="4"/>
        <v>737</v>
      </c>
      <c r="F41">
        <f t="shared" si="5"/>
        <v>897</v>
      </c>
      <c r="G41">
        <f t="shared" si="6"/>
        <v>976</v>
      </c>
      <c r="H41">
        <f t="shared" si="7"/>
        <v>1571</v>
      </c>
      <c r="I41">
        <f t="shared" si="8"/>
        <v>2417</v>
      </c>
      <c r="J41">
        <f t="shared" si="9"/>
        <v>927</v>
      </c>
      <c r="K41">
        <f t="shared" si="10"/>
        <v>588</v>
      </c>
      <c r="L41">
        <f t="shared" si="11"/>
        <v>417</v>
      </c>
      <c r="M41">
        <f t="shared" si="12"/>
        <v>235</v>
      </c>
      <c r="O41">
        <f t="shared" si="13"/>
        <v>2120</v>
      </c>
      <c r="P41">
        <f t="shared" si="14"/>
        <v>3452.6089999999999</v>
      </c>
      <c r="Q41">
        <f t="shared" si="15"/>
        <v>1058</v>
      </c>
      <c r="R41">
        <f t="shared" si="16"/>
        <v>1035</v>
      </c>
      <c r="S41">
        <f t="shared" si="17"/>
        <v>1279</v>
      </c>
      <c r="T41">
        <f t="shared" si="18"/>
        <v>3123</v>
      </c>
      <c r="U41">
        <f t="shared" si="19"/>
        <v>3438</v>
      </c>
      <c r="V41">
        <f t="shared" si="20"/>
        <v>4842</v>
      </c>
      <c r="W41">
        <f t="shared" si="21"/>
        <v>4655.0039999999999</v>
      </c>
      <c r="X41">
        <f t="shared" si="22"/>
        <v>4067.6899999999996</v>
      </c>
      <c r="Y41">
        <f t="shared" si="23"/>
        <v>3455.5479999999998</v>
      </c>
    </row>
    <row r="42" spans="1:26">
      <c r="B42">
        <f t="shared" si="1"/>
        <v>1937</v>
      </c>
      <c r="C42">
        <f t="shared" si="2"/>
        <v>3317</v>
      </c>
      <c r="D42">
        <f t="shared" si="3"/>
        <v>1548</v>
      </c>
      <c r="E42">
        <f t="shared" si="4"/>
        <v>729</v>
      </c>
      <c r="F42">
        <f t="shared" si="5"/>
        <v>1091</v>
      </c>
      <c r="G42">
        <f t="shared" si="6"/>
        <v>1590</v>
      </c>
      <c r="H42">
        <f t="shared" si="7"/>
        <v>1663</v>
      </c>
      <c r="I42">
        <f t="shared" si="8"/>
        <v>1917</v>
      </c>
      <c r="J42">
        <f t="shared" si="9"/>
        <v>1321</v>
      </c>
      <c r="K42">
        <f t="shared" si="10"/>
        <v>576</v>
      </c>
      <c r="L42">
        <f t="shared" si="11"/>
        <v>533</v>
      </c>
      <c r="M42">
        <f t="shared" si="12"/>
        <v>166</v>
      </c>
      <c r="O42">
        <f t="shared" si="13"/>
        <v>1204</v>
      </c>
      <c r="P42">
        <f t="shared" si="14"/>
        <v>1873.1709999999998</v>
      </c>
      <c r="Q42">
        <f t="shared" si="15"/>
        <v>1171</v>
      </c>
      <c r="R42">
        <f t="shared" si="16"/>
        <v>1375</v>
      </c>
      <c r="S42">
        <f t="shared" si="17"/>
        <v>1494</v>
      </c>
      <c r="T42">
        <f t="shared" si="18"/>
        <v>2995</v>
      </c>
      <c r="U42">
        <f t="shared" si="19"/>
        <v>2978</v>
      </c>
      <c r="V42">
        <f t="shared" si="20"/>
        <v>4538</v>
      </c>
      <c r="W42">
        <f t="shared" si="21"/>
        <v>4510.07</v>
      </c>
      <c r="Y42">
        <f t="shared" si="23"/>
        <v>2918.2310000000002</v>
      </c>
    </row>
    <row r="43" spans="1:26">
      <c r="B43">
        <f t="shared" si="1"/>
        <v>1572</v>
      </c>
      <c r="C43">
        <f t="shared" si="2"/>
        <v>2557</v>
      </c>
      <c r="D43">
        <f t="shared" si="3"/>
        <v>1290</v>
      </c>
      <c r="E43">
        <f t="shared" si="4"/>
        <v>958</v>
      </c>
      <c r="F43">
        <f t="shared" si="5"/>
        <v>1480</v>
      </c>
      <c r="G43">
        <f t="shared" si="6"/>
        <v>1895</v>
      </c>
      <c r="H43">
        <f t="shared" si="7"/>
        <v>1851</v>
      </c>
      <c r="I43">
        <f t="shared" si="8"/>
        <v>2583</v>
      </c>
      <c r="J43">
        <f t="shared" si="9"/>
        <v>664</v>
      </c>
      <c r="K43">
        <f t="shared" si="10"/>
        <v>770</v>
      </c>
      <c r="L43">
        <f t="shared" si="11"/>
        <v>182</v>
      </c>
      <c r="M43">
        <f t="shared" si="12"/>
        <v>290</v>
      </c>
      <c r="O43">
        <f t="shared" si="13"/>
        <v>1594</v>
      </c>
      <c r="P43">
        <f t="shared" si="14"/>
        <v>2100.4670000000001</v>
      </c>
      <c r="Q43">
        <f t="shared" si="15"/>
        <v>1206</v>
      </c>
      <c r="R43">
        <f t="shared" si="16"/>
        <v>1236</v>
      </c>
      <c r="S43">
        <f t="shared" si="17"/>
        <v>2555</v>
      </c>
      <c r="T43">
        <f t="shared" si="18"/>
        <v>2190</v>
      </c>
      <c r="U43">
        <f t="shared" si="19"/>
        <v>3627</v>
      </c>
      <c r="V43">
        <f t="shared" si="20"/>
        <v>3300</v>
      </c>
      <c r="W43">
        <f t="shared" si="21"/>
        <v>2646.8670000000002</v>
      </c>
    </row>
    <row r="44" spans="1:26">
      <c r="B44">
        <f t="shared" si="1"/>
        <v>1571</v>
      </c>
      <c r="C44">
        <f t="shared" si="2"/>
        <v>3300</v>
      </c>
      <c r="D44">
        <f t="shared" si="3"/>
        <v>1157</v>
      </c>
      <c r="E44">
        <f t="shared" si="4"/>
        <v>1099</v>
      </c>
      <c r="F44">
        <f t="shared" si="5"/>
        <v>1354</v>
      </c>
      <c r="G44">
        <f t="shared" si="6"/>
        <v>2334</v>
      </c>
      <c r="H44">
        <f t="shared" si="7"/>
        <v>1577</v>
      </c>
      <c r="I44">
        <f t="shared" si="8"/>
        <v>3293</v>
      </c>
      <c r="J44">
        <f t="shared" si="9"/>
        <v>923</v>
      </c>
      <c r="K44">
        <f t="shared" si="10"/>
        <v>418</v>
      </c>
      <c r="L44">
        <f t="shared" si="11"/>
        <v>246</v>
      </c>
      <c r="M44">
        <f t="shared" si="12"/>
        <v>225</v>
      </c>
      <c r="P44">
        <f t="shared" si="14"/>
        <v>2230.4430000000002</v>
      </c>
      <c r="Q44">
        <f t="shared" si="15"/>
        <v>1053</v>
      </c>
      <c r="R44">
        <f t="shared" si="16"/>
        <v>1091</v>
      </c>
      <c r="S44">
        <f t="shared" si="17"/>
        <v>1825</v>
      </c>
      <c r="T44">
        <f t="shared" si="18"/>
        <v>2089</v>
      </c>
      <c r="V44">
        <f t="shared" si="20"/>
        <v>3735</v>
      </c>
      <c r="W44">
        <f t="shared" si="21"/>
        <v>2483.2839999999997</v>
      </c>
    </row>
    <row r="45" spans="1:26">
      <c r="B45">
        <f t="shared" si="1"/>
        <v>1234</v>
      </c>
      <c r="D45">
        <f t="shared" si="3"/>
        <v>962</v>
      </c>
      <c r="E45">
        <f t="shared" si="4"/>
        <v>1189</v>
      </c>
      <c r="F45">
        <f t="shared" si="5"/>
        <v>1378</v>
      </c>
      <c r="G45">
        <f t="shared" si="6"/>
        <v>2174</v>
      </c>
      <c r="H45">
        <f t="shared" si="7"/>
        <v>2205</v>
      </c>
      <c r="I45">
        <f t="shared" si="8"/>
        <v>1889</v>
      </c>
      <c r="J45">
        <f t="shared" si="9"/>
        <v>1312</v>
      </c>
      <c r="K45">
        <f t="shared" si="10"/>
        <v>505</v>
      </c>
      <c r="L45">
        <f t="shared" si="11"/>
        <v>649</v>
      </c>
      <c r="M45">
        <f t="shared" si="12"/>
        <v>273</v>
      </c>
      <c r="P45">
        <f t="shared" si="14"/>
        <v>2471.7440000000001</v>
      </c>
      <c r="Q45">
        <f t="shared" si="15"/>
        <v>1556</v>
      </c>
      <c r="R45">
        <f t="shared" si="16"/>
        <v>1102</v>
      </c>
      <c r="S45">
        <f t="shared" si="17"/>
        <v>2302</v>
      </c>
      <c r="T45">
        <f t="shared" si="18"/>
        <v>1633</v>
      </c>
      <c r="V45">
        <f t="shared" si="20"/>
        <v>2915</v>
      </c>
      <c r="W45">
        <f t="shared" si="21"/>
        <v>4955.0910000000003</v>
      </c>
    </row>
    <row r="46" spans="1:26">
      <c r="B46">
        <f t="shared" si="1"/>
        <v>1243</v>
      </c>
      <c r="E46">
        <f t="shared" si="4"/>
        <v>826</v>
      </c>
      <c r="F46">
        <f t="shared" si="5"/>
        <v>1059</v>
      </c>
      <c r="G46">
        <f t="shared" si="6"/>
        <v>1339</v>
      </c>
      <c r="H46">
        <f t="shared" si="7"/>
        <v>1784</v>
      </c>
      <c r="I46">
        <f t="shared" si="8"/>
        <v>1902</v>
      </c>
      <c r="J46">
        <f t="shared" si="9"/>
        <v>1315</v>
      </c>
      <c r="K46">
        <f t="shared" si="10"/>
        <v>745</v>
      </c>
      <c r="L46">
        <f t="shared" si="11"/>
        <v>269</v>
      </c>
      <c r="M46">
        <f t="shared" si="12"/>
        <v>158</v>
      </c>
      <c r="P46">
        <f t="shared" si="14"/>
        <v>1840.0540000000001</v>
      </c>
      <c r="R46">
        <f t="shared" si="16"/>
        <v>1294</v>
      </c>
      <c r="S46">
        <f t="shared" si="17"/>
        <v>892</v>
      </c>
      <c r="T46">
        <f t="shared" si="18"/>
        <v>2083</v>
      </c>
      <c r="V46">
        <f t="shared" si="20"/>
        <v>3401</v>
      </c>
      <c r="W46">
        <f t="shared" si="21"/>
        <v>3393.66</v>
      </c>
    </row>
    <row r="47" spans="1:26">
      <c r="E47">
        <f t="shared" si="4"/>
        <v>647</v>
      </c>
      <c r="F47">
        <f t="shared" si="5"/>
        <v>1622</v>
      </c>
      <c r="G47">
        <f t="shared" si="6"/>
        <v>1419</v>
      </c>
      <c r="H47">
        <f t="shared" si="7"/>
        <v>1783</v>
      </c>
      <c r="I47">
        <f t="shared" si="8"/>
        <v>2113</v>
      </c>
      <c r="J47">
        <f t="shared" si="9"/>
        <v>1341</v>
      </c>
      <c r="K47">
        <f t="shared" si="10"/>
        <v>773</v>
      </c>
      <c r="L47">
        <f t="shared" si="11"/>
        <v>414</v>
      </c>
      <c r="M47">
        <f t="shared" si="12"/>
        <v>143</v>
      </c>
      <c r="P47">
        <f t="shared" si="14"/>
        <v>2011.25</v>
      </c>
      <c r="R47">
        <f t="shared" si="16"/>
        <v>1511</v>
      </c>
      <c r="S47">
        <f t="shared" si="17"/>
        <v>1763</v>
      </c>
      <c r="T47">
        <f t="shared" si="18"/>
        <v>2111</v>
      </c>
      <c r="W47">
        <f t="shared" si="21"/>
        <v>5050.5569999999998</v>
      </c>
    </row>
    <row r="48" spans="1:26">
      <c r="F48">
        <f t="shared" si="5"/>
        <v>1013</v>
      </c>
      <c r="G48">
        <f t="shared" si="6"/>
        <v>1319</v>
      </c>
      <c r="H48">
        <f t="shared" si="7"/>
        <v>2086</v>
      </c>
      <c r="I48">
        <f t="shared" si="8"/>
        <v>2248</v>
      </c>
      <c r="J48">
        <f t="shared" si="9"/>
        <v>1647</v>
      </c>
      <c r="K48">
        <f t="shared" si="10"/>
        <v>476</v>
      </c>
      <c r="L48">
        <f t="shared" si="11"/>
        <v>647</v>
      </c>
      <c r="P48">
        <f t="shared" si="14"/>
        <v>2187.1489999999999</v>
      </c>
      <c r="T48">
        <f t="shared" si="18"/>
        <v>1875</v>
      </c>
      <c r="W48">
        <f t="shared" si="21"/>
        <v>3905.62</v>
      </c>
    </row>
    <row r="49" spans="1:26">
      <c r="F49">
        <f t="shared" si="5"/>
        <v>1035</v>
      </c>
      <c r="G49">
        <f t="shared" si="6"/>
        <v>2269</v>
      </c>
      <c r="I49">
        <f t="shared" si="8"/>
        <v>2265</v>
      </c>
      <c r="J49">
        <f t="shared" si="9"/>
        <v>1447</v>
      </c>
      <c r="K49">
        <f t="shared" si="10"/>
        <v>402</v>
      </c>
      <c r="L49">
        <f t="shared" si="11"/>
        <v>244</v>
      </c>
      <c r="P49">
        <f t="shared" si="14"/>
        <v>2326.614</v>
      </c>
      <c r="T49">
        <f t="shared" si="18"/>
        <v>2007</v>
      </c>
      <c r="W49">
        <f t="shared" si="21"/>
        <v>3246.6059999999998</v>
      </c>
    </row>
    <row r="50" spans="1:26">
      <c r="F50">
        <f t="shared" si="5"/>
        <v>1147</v>
      </c>
      <c r="G50">
        <f t="shared" si="6"/>
        <v>1472</v>
      </c>
      <c r="I50">
        <f t="shared" si="8"/>
        <v>2272</v>
      </c>
      <c r="J50">
        <f t="shared" si="9"/>
        <v>972</v>
      </c>
      <c r="K50">
        <f t="shared" si="10"/>
        <v>651</v>
      </c>
      <c r="L50">
        <f t="shared" si="11"/>
        <v>236</v>
      </c>
      <c r="P50">
        <f t="shared" si="14"/>
        <v>2584.1</v>
      </c>
      <c r="T50">
        <f t="shared" si="18"/>
        <v>1901</v>
      </c>
      <c r="W50">
        <f t="shared" si="21"/>
        <v>3207.8249999999998</v>
      </c>
    </row>
    <row r="51" spans="1:26">
      <c r="G51">
        <f t="shared" si="6"/>
        <v>1486</v>
      </c>
      <c r="I51">
        <f t="shared" si="8"/>
        <v>1795</v>
      </c>
      <c r="J51">
        <f t="shared" si="9"/>
        <v>1237</v>
      </c>
      <c r="K51">
        <f t="shared" si="10"/>
        <v>495</v>
      </c>
      <c r="L51">
        <f t="shared" si="11"/>
        <v>341</v>
      </c>
      <c r="W51">
        <f t="shared" si="21"/>
        <v>5034.7839999999997</v>
      </c>
    </row>
    <row r="52" spans="1:26">
      <c r="G52">
        <f t="shared" si="6"/>
        <v>1038</v>
      </c>
      <c r="I52">
        <f t="shared" si="8"/>
        <v>2176</v>
      </c>
      <c r="J52">
        <f t="shared" si="9"/>
        <v>620</v>
      </c>
      <c r="K52">
        <f t="shared" si="10"/>
        <v>856</v>
      </c>
      <c r="L52">
        <f t="shared" si="11"/>
        <v>231</v>
      </c>
      <c r="W52">
        <f t="shared" si="21"/>
        <v>3180.1369999999997</v>
      </c>
    </row>
    <row r="53" spans="1:26">
      <c r="I53">
        <f t="shared" si="8"/>
        <v>1584</v>
      </c>
      <c r="J53">
        <f t="shared" si="9"/>
        <v>1056</v>
      </c>
      <c r="K53">
        <f t="shared" si="10"/>
        <v>626</v>
      </c>
    </row>
    <row r="54" spans="1:26">
      <c r="K54">
        <f t="shared" si="10"/>
        <v>619</v>
      </c>
    </row>
    <row r="55" spans="1:26">
      <c r="K55">
        <f t="shared" si="10"/>
        <v>422</v>
      </c>
    </row>
    <row r="56" spans="1:26">
      <c r="K56">
        <f>K19-322</f>
        <v>390</v>
      </c>
    </row>
    <row r="57" spans="1:26">
      <c r="A57" t="s">
        <v>12</v>
      </c>
      <c r="B57">
        <f>AVERAGE(B39:B52)</f>
        <v>1610.5</v>
      </c>
      <c r="C57">
        <f t="shared" ref="C57:Z57" si="24">AVERAGE(C39:C52)</f>
        <v>3118.3333333333335</v>
      </c>
      <c r="D57">
        <f t="shared" si="24"/>
        <v>1177.4285714285713</v>
      </c>
      <c r="E57">
        <f t="shared" si="24"/>
        <v>892.44444444444446</v>
      </c>
      <c r="F57">
        <f t="shared" si="24"/>
        <v>1220.1666666666667</v>
      </c>
      <c r="G57">
        <f t="shared" si="24"/>
        <v>1613.7857142857142</v>
      </c>
      <c r="H57">
        <f>AVERAGE(H39:H55)</f>
        <v>1880.2</v>
      </c>
      <c r="I57">
        <f t="shared" si="24"/>
        <v>2232.7142857142858</v>
      </c>
      <c r="J57">
        <f t="shared" si="24"/>
        <v>1206.4285714285713</v>
      </c>
      <c r="K57">
        <f>AVERAGE(K39:K56)</f>
        <v>582</v>
      </c>
      <c r="L57">
        <f t="shared" si="24"/>
        <v>375.42857142857144</v>
      </c>
      <c r="M57">
        <f t="shared" si="24"/>
        <v>221.44444444444446</v>
      </c>
      <c r="O57">
        <f t="shared" si="24"/>
        <v>1447.4</v>
      </c>
      <c r="P57">
        <f t="shared" si="24"/>
        <v>2259.4602500000005</v>
      </c>
      <c r="Q57">
        <f t="shared" si="24"/>
        <v>1172.7142857142858</v>
      </c>
      <c r="R57">
        <f t="shared" si="24"/>
        <v>1162.3333333333333</v>
      </c>
      <c r="S57">
        <f t="shared" si="24"/>
        <v>1732.4444444444443</v>
      </c>
      <c r="T57">
        <f t="shared" si="24"/>
        <v>2224.8333333333335</v>
      </c>
      <c r="U57">
        <f t="shared" si="24"/>
        <v>2786.8</v>
      </c>
      <c r="V57">
        <f t="shared" si="24"/>
        <v>3545.75</v>
      </c>
      <c r="W57">
        <f t="shared" si="24"/>
        <v>3796.4233571428567</v>
      </c>
      <c r="X57">
        <f t="shared" si="24"/>
        <v>3524.8436666666662</v>
      </c>
      <c r="Y57">
        <f t="shared" si="24"/>
        <v>3145.24125</v>
      </c>
      <c r="Z57">
        <f t="shared" si="24"/>
        <v>4471.0309999999999</v>
      </c>
    </row>
    <row r="58" spans="1:26">
      <c r="A58" t="s">
        <v>13</v>
      </c>
      <c r="B58">
        <f>STDEV(B39:B52)</f>
        <v>311.55875391787202</v>
      </c>
      <c r="C58">
        <f t="shared" ref="C58:Z58" si="25">STDEV(C39:C52)</f>
        <v>467.31902022779599</v>
      </c>
      <c r="D58">
        <f t="shared" si="25"/>
        <v>202.29998940752756</v>
      </c>
      <c r="E58">
        <f t="shared" si="25"/>
        <v>183.41081695957234</v>
      </c>
      <c r="F58">
        <f t="shared" si="25"/>
        <v>222.42540458783191</v>
      </c>
      <c r="G58">
        <f t="shared" si="25"/>
        <v>422.39376062033523</v>
      </c>
      <c r="H58">
        <f>STDEV(H39:H55)</f>
        <v>244.7900687891115</v>
      </c>
      <c r="I58">
        <f t="shared" si="25"/>
        <v>390.46923026048967</v>
      </c>
      <c r="J58">
        <f t="shared" si="25"/>
        <v>333.06772568069385</v>
      </c>
      <c r="K58">
        <f>STDEV(K39:K56)</f>
        <v>143.01460229846543</v>
      </c>
      <c r="L58">
        <f t="shared" si="25"/>
        <v>157.80987308770023</v>
      </c>
      <c r="M58">
        <f t="shared" si="25"/>
        <v>56.71664462728539</v>
      </c>
      <c r="O58">
        <f t="shared" si="25"/>
        <v>418.06674108328662</v>
      </c>
      <c r="P58">
        <f t="shared" si="25"/>
        <v>439.6636638833067</v>
      </c>
      <c r="Q58">
        <f t="shared" si="25"/>
        <v>287.2883071560197</v>
      </c>
      <c r="R58">
        <f t="shared" si="25"/>
        <v>229.50381260449683</v>
      </c>
      <c r="S58">
        <f t="shared" si="25"/>
        <v>499.64039846451368</v>
      </c>
      <c r="T58">
        <f t="shared" si="25"/>
        <v>491.46253595001929</v>
      </c>
      <c r="U58">
        <f t="shared" si="25"/>
        <v>864.55636022181875</v>
      </c>
      <c r="V58">
        <f t="shared" si="25"/>
        <v>778.56933813611897</v>
      </c>
      <c r="W58">
        <f t="shared" si="25"/>
        <v>885.77539256523539</v>
      </c>
      <c r="X58">
        <f t="shared" si="25"/>
        <v>702.63919276989952</v>
      </c>
      <c r="Y58">
        <f t="shared" si="25"/>
        <v>288.57697332875193</v>
      </c>
      <c r="Z58">
        <f t="shared" si="25"/>
        <v>545.45792836661576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H1" workbookViewId="0">
      <selection activeCell="O38" sqref="O38:Z38"/>
    </sheetView>
  </sheetViews>
  <sheetFormatPr baseColWidth="10" defaultRowHeight="15" x14ac:dyDescent="0"/>
  <cols>
    <col min="1" max="1" width="31.83203125" customWidth="1"/>
  </cols>
  <sheetData>
    <row r="1" spans="1:26">
      <c r="A1" t="s">
        <v>84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2917</v>
      </c>
      <c r="C2">
        <v>5051</v>
      </c>
      <c r="D2">
        <v>1257</v>
      </c>
      <c r="E2">
        <v>1361</v>
      </c>
      <c r="F2">
        <v>1052</v>
      </c>
      <c r="G2">
        <v>2222</v>
      </c>
      <c r="H2">
        <v>1899</v>
      </c>
      <c r="I2">
        <v>2922</v>
      </c>
      <c r="J2">
        <v>1730</v>
      </c>
      <c r="K2">
        <v>912</v>
      </c>
      <c r="L2">
        <v>770</v>
      </c>
      <c r="M2">
        <v>666</v>
      </c>
      <c r="O2">
        <v>2065.8000000000002</v>
      </c>
      <c r="P2">
        <v>4384.0339999999997</v>
      </c>
      <c r="Q2">
        <v>2257.5309999999999</v>
      </c>
      <c r="R2">
        <v>2370.3580000000002</v>
      </c>
      <c r="S2">
        <v>2172.7310000000002</v>
      </c>
      <c r="T2">
        <v>2547.2559999999999</v>
      </c>
      <c r="U2">
        <v>5369.424</v>
      </c>
      <c r="V2">
        <v>5646.4960000000001</v>
      </c>
      <c r="W2">
        <v>6075.5079999999998</v>
      </c>
      <c r="X2">
        <v>6132.2190000000001</v>
      </c>
      <c r="Y2">
        <v>3675.6779999999999</v>
      </c>
      <c r="Z2">
        <v>3065.7240000000002</v>
      </c>
    </row>
    <row r="3" spans="1:26">
      <c r="B3">
        <v>2747</v>
      </c>
      <c r="C3">
        <v>4259</v>
      </c>
      <c r="D3">
        <v>1245</v>
      </c>
      <c r="E3">
        <v>1074</v>
      </c>
      <c r="F3">
        <v>1353</v>
      </c>
      <c r="G3">
        <v>1150</v>
      </c>
      <c r="H3">
        <v>2078</v>
      </c>
      <c r="I3">
        <v>3097</v>
      </c>
      <c r="J3">
        <v>1600</v>
      </c>
      <c r="K3">
        <v>710</v>
      </c>
      <c r="L3">
        <v>670</v>
      </c>
      <c r="M3">
        <v>655</v>
      </c>
      <c r="O3">
        <v>2155.1410000000001</v>
      </c>
      <c r="P3">
        <v>3058.902</v>
      </c>
      <c r="Q3">
        <v>1687.327</v>
      </c>
      <c r="R3">
        <v>2578.232</v>
      </c>
      <c r="S3">
        <v>2197.2339999999999</v>
      </c>
      <c r="T3">
        <v>3398.9789999999998</v>
      </c>
      <c r="U3">
        <v>4888.7510000000002</v>
      </c>
      <c r="V3">
        <v>4990.3090000000002</v>
      </c>
      <c r="W3">
        <v>6080.8879999999999</v>
      </c>
      <c r="X3">
        <v>5545.1859999999997</v>
      </c>
      <c r="Y3">
        <v>5205.3710000000001</v>
      </c>
      <c r="Z3">
        <v>4173.7129999999997</v>
      </c>
    </row>
    <row r="4" spans="1:26">
      <c r="B4">
        <v>2346</v>
      </c>
      <c r="C4">
        <v>3584</v>
      </c>
      <c r="D4">
        <v>1342</v>
      </c>
      <c r="E4">
        <v>1207</v>
      </c>
      <c r="F4">
        <v>1588</v>
      </c>
      <c r="G4">
        <v>1498</v>
      </c>
      <c r="H4">
        <v>2411</v>
      </c>
      <c r="I4">
        <v>2668</v>
      </c>
      <c r="J4">
        <v>1179</v>
      </c>
      <c r="K4">
        <v>1319</v>
      </c>
      <c r="L4">
        <v>650</v>
      </c>
      <c r="M4">
        <v>767</v>
      </c>
      <c r="O4">
        <v>2019.5129999999999</v>
      </c>
      <c r="P4">
        <v>5108.9269999999997</v>
      </c>
      <c r="Q4">
        <v>1422.9570000000001</v>
      </c>
      <c r="R4">
        <v>1695.82</v>
      </c>
      <c r="S4">
        <v>2647.06</v>
      </c>
      <c r="T4">
        <v>2900.317</v>
      </c>
      <c r="U4">
        <v>3674.4560000000001</v>
      </c>
      <c r="V4">
        <v>5115.1080000000002</v>
      </c>
      <c r="W4">
        <v>7657.8829999999998</v>
      </c>
      <c r="X4">
        <v>4441.5119999999997</v>
      </c>
      <c r="Z4">
        <v>4843.8549999999996</v>
      </c>
    </row>
    <row r="5" spans="1:26">
      <c r="B5">
        <v>1853</v>
      </c>
      <c r="C5">
        <v>4379</v>
      </c>
      <c r="D5">
        <v>1728</v>
      </c>
      <c r="E5">
        <v>1436</v>
      </c>
      <c r="F5">
        <v>967</v>
      </c>
      <c r="G5">
        <v>2110</v>
      </c>
      <c r="H5">
        <v>2401</v>
      </c>
      <c r="I5">
        <v>2981</v>
      </c>
      <c r="J5">
        <v>1566</v>
      </c>
      <c r="K5">
        <v>1210</v>
      </c>
      <c r="L5">
        <v>669</v>
      </c>
      <c r="M5">
        <v>544</v>
      </c>
      <c r="O5">
        <v>2126.1390000000001</v>
      </c>
      <c r="Q5">
        <v>1380.4780000000001</v>
      </c>
      <c r="R5">
        <v>1977.3920000000001</v>
      </c>
      <c r="S5">
        <v>2274.962</v>
      </c>
      <c r="T5">
        <v>2728.308</v>
      </c>
      <c r="U5">
        <v>3462.9259999999999</v>
      </c>
      <c r="V5">
        <v>4958.0159999999996</v>
      </c>
      <c r="W5">
        <v>4680.2049999999999</v>
      </c>
      <c r="X5">
        <v>5623.0249999999996</v>
      </c>
    </row>
    <row r="6" spans="1:26">
      <c r="B6">
        <v>2081</v>
      </c>
      <c r="C6">
        <v>4000</v>
      </c>
      <c r="D6">
        <v>1781</v>
      </c>
      <c r="E6">
        <v>1174</v>
      </c>
      <c r="F6">
        <v>1810</v>
      </c>
      <c r="G6">
        <v>1566</v>
      </c>
      <c r="H6">
        <v>2745</v>
      </c>
      <c r="I6">
        <v>3444</v>
      </c>
      <c r="J6">
        <v>2188</v>
      </c>
      <c r="K6">
        <v>717</v>
      </c>
      <c r="L6">
        <v>665</v>
      </c>
      <c r="M6">
        <v>629</v>
      </c>
      <c r="O6">
        <v>1919.4570000000001</v>
      </c>
      <c r="R6">
        <v>2065.8000000000002</v>
      </c>
      <c r="S6">
        <v>2613.5880000000002</v>
      </c>
      <c r="T6">
        <v>2590.306</v>
      </c>
      <c r="X6">
        <v>4986.1459999999997</v>
      </c>
    </row>
    <row r="7" spans="1:26">
      <c r="B7">
        <v>2701</v>
      </c>
      <c r="C7">
        <v>3975</v>
      </c>
      <c r="D7">
        <v>2442</v>
      </c>
      <c r="E7">
        <v>1428</v>
      </c>
      <c r="F7">
        <v>1288</v>
      </c>
      <c r="G7">
        <v>2256</v>
      </c>
      <c r="H7">
        <v>2278</v>
      </c>
      <c r="I7">
        <v>3748</v>
      </c>
      <c r="J7">
        <v>2352</v>
      </c>
      <c r="K7">
        <v>1196</v>
      </c>
      <c r="L7">
        <v>568</v>
      </c>
      <c r="S7">
        <v>2116.6460000000002</v>
      </c>
      <c r="T7">
        <v>3321.6350000000002</v>
      </c>
    </row>
    <row r="8" spans="1:26">
      <c r="B8">
        <v>1761</v>
      </c>
      <c r="D8">
        <v>2002</v>
      </c>
      <c r="E8">
        <v>1165</v>
      </c>
      <c r="F8">
        <v>1786</v>
      </c>
      <c r="G8">
        <v>1664</v>
      </c>
      <c r="H8">
        <v>2730</v>
      </c>
      <c r="I8">
        <v>3010</v>
      </c>
      <c r="J8">
        <v>2079</v>
      </c>
      <c r="K8">
        <v>737</v>
      </c>
      <c r="L8">
        <v>670</v>
      </c>
      <c r="S8">
        <v>3023.221</v>
      </c>
    </row>
    <row r="9" spans="1:26">
      <c r="B9">
        <v>2258</v>
      </c>
      <c r="E9">
        <v>1255</v>
      </c>
      <c r="F9">
        <v>1418</v>
      </c>
      <c r="G9">
        <v>2299</v>
      </c>
      <c r="H9">
        <v>2300</v>
      </c>
      <c r="I9">
        <v>3407</v>
      </c>
      <c r="J9">
        <v>1885</v>
      </c>
      <c r="K9">
        <v>1182</v>
      </c>
      <c r="L9">
        <v>701</v>
      </c>
    </row>
    <row r="10" spans="1:26">
      <c r="B10">
        <v>1994</v>
      </c>
      <c r="E10">
        <v>1324</v>
      </c>
      <c r="F10">
        <v>1024</v>
      </c>
      <c r="G10">
        <v>2293</v>
      </c>
      <c r="H10">
        <v>2326</v>
      </c>
      <c r="I10">
        <v>3237</v>
      </c>
      <c r="J10">
        <v>1046</v>
      </c>
      <c r="K10">
        <v>1098</v>
      </c>
    </row>
    <row r="11" spans="1:26">
      <c r="E11">
        <v>1531</v>
      </c>
      <c r="F11">
        <v>1229</v>
      </c>
      <c r="G11">
        <v>1654</v>
      </c>
      <c r="H11">
        <v>2174</v>
      </c>
      <c r="I11">
        <v>2380</v>
      </c>
      <c r="J11">
        <v>2106</v>
      </c>
      <c r="K11">
        <v>1256</v>
      </c>
    </row>
    <row r="12" spans="1:26">
      <c r="F12">
        <v>1493</v>
      </c>
      <c r="G12">
        <v>1459</v>
      </c>
      <c r="H12">
        <v>3551</v>
      </c>
      <c r="I12">
        <v>2863</v>
      </c>
      <c r="J12">
        <v>2127</v>
      </c>
      <c r="K12">
        <v>1070</v>
      </c>
    </row>
    <row r="13" spans="1:26">
      <c r="H13">
        <v>2737</v>
      </c>
      <c r="I13">
        <v>3217</v>
      </c>
      <c r="J13">
        <v>1191</v>
      </c>
      <c r="K13">
        <v>1460</v>
      </c>
    </row>
    <row r="14" spans="1:26">
      <c r="H14">
        <v>3042</v>
      </c>
      <c r="I14">
        <v>3949</v>
      </c>
      <c r="J14">
        <v>1447</v>
      </c>
      <c r="K14">
        <v>1140</v>
      </c>
    </row>
    <row r="15" spans="1:26">
      <c r="H15">
        <v>3131</v>
      </c>
      <c r="I15">
        <v>3300</v>
      </c>
      <c r="J15">
        <v>2677</v>
      </c>
    </row>
    <row r="16" spans="1:26">
      <c r="H16">
        <v>2282</v>
      </c>
    </row>
    <row r="17" spans="1:26">
      <c r="H17">
        <v>3431</v>
      </c>
    </row>
    <row r="18" spans="1:26">
      <c r="H18">
        <v>2706</v>
      </c>
    </row>
    <row r="21" spans="1:26">
      <c r="A21" t="s">
        <v>83</v>
      </c>
      <c r="B21">
        <v>212</v>
      </c>
      <c r="C21">
        <v>226</v>
      </c>
      <c r="D21">
        <v>241</v>
      </c>
      <c r="E21">
        <v>117</v>
      </c>
      <c r="F21">
        <v>261</v>
      </c>
      <c r="G21">
        <v>366</v>
      </c>
      <c r="H21">
        <v>447</v>
      </c>
      <c r="I21">
        <v>470</v>
      </c>
      <c r="J21">
        <v>363</v>
      </c>
      <c r="K21">
        <v>304</v>
      </c>
      <c r="L21">
        <v>320</v>
      </c>
      <c r="M21">
        <v>264</v>
      </c>
      <c r="O21">
        <v>264.61</v>
      </c>
      <c r="P21">
        <v>205.267</v>
      </c>
      <c r="Q21">
        <v>436.97899999999998</v>
      </c>
      <c r="R21">
        <v>264.904</v>
      </c>
      <c r="S21">
        <v>469.36500000000001</v>
      </c>
      <c r="T21">
        <v>384.64</v>
      </c>
      <c r="U21">
        <v>730.65300000000002</v>
      </c>
      <c r="V21">
        <v>913.61900000000003</v>
      </c>
      <c r="W21">
        <v>648.495</v>
      </c>
      <c r="X21">
        <v>641.423</v>
      </c>
      <c r="Y21">
        <v>1041.0250000000001</v>
      </c>
      <c r="Z21">
        <v>1370.365</v>
      </c>
    </row>
    <row r="22" spans="1:26">
      <c r="B22">
        <v>174</v>
      </c>
      <c r="C22">
        <v>169</v>
      </c>
      <c r="D22">
        <v>162</v>
      </c>
      <c r="E22">
        <v>152</v>
      </c>
      <c r="F22">
        <v>361</v>
      </c>
      <c r="G22">
        <v>277</v>
      </c>
      <c r="H22">
        <v>424</v>
      </c>
      <c r="I22">
        <v>416</v>
      </c>
      <c r="J22">
        <v>395</v>
      </c>
      <c r="K22">
        <v>318</v>
      </c>
      <c r="L22">
        <v>292</v>
      </c>
      <c r="M22">
        <v>220</v>
      </c>
      <c r="O22">
        <v>266.15199999999999</v>
      </c>
      <c r="P22">
        <v>256.98</v>
      </c>
      <c r="Q22">
        <v>283.74400000000003</v>
      </c>
      <c r="R22">
        <v>299.94400000000002</v>
      </c>
      <c r="S22">
        <v>309.46100000000001</v>
      </c>
      <c r="T22">
        <v>413.95600000000002</v>
      </c>
      <c r="U22">
        <v>549.77800000000002</v>
      </c>
      <c r="V22">
        <v>887.38599999999997</v>
      </c>
      <c r="W22">
        <v>820.51099999999997</v>
      </c>
      <c r="X22">
        <v>987.53599999999994</v>
      </c>
      <c r="Y22">
        <v>1317.607</v>
      </c>
      <c r="Z22">
        <v>1062.559</v>
      </c>
    </row>
    <row r="23" spans="1:26">
      <c r="B23">
        <v>130</v>
      </c>
      <c r="C23">
        <v>178</v>
      </c>
      <c r="D23">
        <v>190</v>
      </c>
      <c r="E23">
        <v>173</v>
      </c>
      <c r="F23">
        <v>177</v>
      </c>
      <c r="G23">
        <v>277</v>
      </c>
      <c r="H23">
        <v>327</v>
      </c>
      <c r="I23">
        <v>329</v>
      </c>
      <c r="J23">
        <v>438</v>
      </c>
      <c r="K23">
        <v>307</v>
      </c>
      <c r="L23">
        <v>248</v>
      </c>
      <c r="M23">
        <v>217</v>
      </c>
      <c r="O23">
        <v>235.71100000000001</v>
      </c>
      <c r="P23">
        <v>283.726</v>
      </c>
      <c r="Q23">
        <v>248.607</v>
      </c>
      <c r="R23">
        <v>379.096</v>
      </c>
      <c r="S23">
        <v>312.57</v>
      </c>
      <c r="T23">
        <v>465.98099999999999</v>
      </c>
      <c r="U23">
        <v>389.36700000000002</v>
      </c>
      <c r="V23">
        <v>728.096</v>
      </c>
      <c r="W23">
        <v>674.05600000000004</v>
      </c>
      <c r="X23">
        <v>1347.405</v>
      </c>
      <c r="Y23">
        <v>1450.3889999999999</v>
      </c>
      <c r="Z23">
        <v>1232.712</v>
      </c>
    </row>
    <row r="24" spans="1:26">
      <c r="B24">
        <v>145</v>
      </c>
      <c r="C24">
        <v>176</v>
      </c>
      <c r="D24">
        <v>197</v>
      </c>
      <c r="E24">
        <v>195</v>
      </c>
      <c r="F24">
        <v>196</v>
      </c>
      <c r="G24">
        <v>375</v>
      </c>
      <c r="H24">
        <v>283</v>
      </c>
      <c r="I24">
        <v>277</v>
      </c>
      <c r="J24">
        <v>249</v>
      </c>
      <c r="S24">
        <v>320.26400000000001</v>
      </c>
      <c r="T24">
        <v>517.81799999999998</v>
      </c>
      <c r="U24">
        <v>354.48899999999998</v>
      </c>
      <c r="V24">
        <v>765.18700000000001</v>
      </c>
      <c r="W24">
        <v>728.48099999999999</v>
      </c>
      <c r="X24">
        <v>1045.1420000000001</v>
      </c>
      <c r="Y24">
        <v>1288.5250000000001</v>
      </c>
      <c r="Z24">
        <v>1606.3009999999999</v>
      </c>
    </row>
    <row r="25" spans="1:26">
      <c r="B25">
        <v>212</v>
      </c>
      <c r="F25">
        <v>195</v>
      </c>
      <c r="H25">
        <v>342</v>
      </c>
      <c r="I25">
        <v>305</v>
      </c>
      <c r="J25">
        <v>309</v>
      </c>
      <c r="T25">
        <v>501.76100000000002</v>
      </c>
      <c r="U25">
        <v>432.678</v>
      </c>
      <c r="V25">
        <v>804.00199999999995</v>
      </c>
      <c r="X25">
        <v>918.16099999999994</v>
      </c>
    </row>
    <row r="26" spans="1:26">
      <c r="I26">
        <v>281</v>
      </c>
      <c r="J26">
        <v>369</v>
      </c>
    </row>
    <row r="35" spans="1:26" s="1" customFormat="1">
      <c r="A35" s="1" t="s">
        <v>110</v>
      </c>
      <c r="B35" s="1">
        <f>AVERAGE(B21:B33)</f>
        <v>174.6</v>
      </c>
      <c r="C35" s="1">
        <f t="shared" ref="C35:Z35" si="0">AVERAGE(C21:C33)</f>
        <v>187.25</v>
      </c>
      <c r="D35" s="1">
        <f t="shared" si="0"/>
        <v>197.5</v>
      </c>
      <c r="E35" s="1">
        <f t="shared" si="0"/>
        <v>159.25</v>
      </c>
      <c r="F35" s="1">
        <f t="shared" si="0"/>
        <v>238</v>
      </c>
      <c r="G35" s="1">
        <f t="shared" si="0"/>
        <v>323.75</v>
      </c>
      <c r="H35" s="1">
        <f t="shared" si="0"/>
        <v>364.6</v>
      </c>
      <c r="I35" s="1">
        <f t="shared" si="0"/>
        <v>346.33333333333331</v>
      </c>
      <c r="J35" s="1">
        <f t="shared" si="0"/>
        <v>353.83333333333331</v>
      </c>
      <c r="K35" s="1">
        <f t="shared" si="0"/>
        <v>309.66666666666669</v>
      </c>
      <c r="L35" s="1">
        <f t="shared" si="0"/>
        <v>286.66666666666669</v>
      </c>
      <c r="M35" s="1">
        <f t="shared" si="0"/>
        <v>233.66666666666666</v>
      </c>
      <c r="O35" s="1">
        <f t="shared" si="0"/>
        <v>255.49099999999999</v>
      </c>
      <c r="P35" s="1">
        <f t="shared" si="0"/>
        <v>248.65766666666664</v>
      </c>
      <c r="Q35" s="1">
        <f t="shared" si="0"/>
        <v>323.10999999999996</v>
      </c>
      <c r="R35" s="1">
        <f t="shared" si="0"/>
        <v>314.64799999999997</v>
      </c>
      <c r="S35" s="1">
        <f t="shared" si="0"/>
        <v>352.91499999999996</v>
      </c>
      <c r="T35" s="1">
        <f t="shared" si="0"/>
        <v>456.83119999999997</v>
      </c>
      <c r="U35" s="1">
        <f t="shared" si="0"/>
        <v>491.39300000000003</v>
      </c>
      <c r="V35" s="1">
        <f t="shared" si="0"/>
        <v>819.65800000000002</v>
      </c>
      <c r="W35" s="1">
        <f t="shared" si="0"/>
        <v>717.88574999999992</v>
      </c>
      <c r="X35" s="1">
        <f t="shared" si="0"/>
        <v>987.93339999999989</v>
      </c>
      <c r="Y35" s="1">
        <f t="shared" si="0"/>
        <v>1274.3865000000001</v>
      </c>
      <c r="Z35" s="1">
        <f t="shared" si="0"/>
        <v>1317.98425</v>
      </c>
    </row>
    <row r="38" spans="1:26">
      <c r="A38" t="s">
        <v>121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48</v>
      </c>
      <c r="P38" t="s">
        <v>49</v>
      </c>
      <c r="Q38" t="s">
        <v>50</v>
      </c>
      <c r="R38" t="s">
        <v>51</v>
      </c>
      <c r="S38" t="s">
        <v>52</v>
      </c>
      <c r="T38" t="s">
        <v>53</v>
      </c>
      <c r="U38" t="s">
        <v>54</v>
      </c>
      <c r="V38" t="s">
        <v>55</v>
      </c>
      <c r="W38" t="s">
        <v>56</v>
      </c>
      <c r="X38" t="s">
        <v>57</v>
      </c>
      <c r="Y38" t="s">
        <v>58</v>
      </c>
      <c r="Z38" t="s">
        <v>59</v>
      </c>
    </row>
    <row r="39" spans="1:26">
      <c r="B39">
        <f>B2-175</f>
        <v>2742</v>
      </c>
      <c r="C39">
        <f>C2-187</f>
        <v>4864</v>
      </c>
      <c r="D39">
        <f>D2-198</f>
        <v>1059</v>
      </c>
      <c r="E39">
        <f>E2-159</f>
        <v>1202</v>
      </c>
      <c r="F39">
        <f>F2-238</f>
        <v>814</v>
      </c>
      <c r="G39">
        <f>G2-324</f>
        <v>1898</v>
      </c>
      <c r="H39">
        <f>H2-365</f>
        <v>1534</v>
      </c>
      <c r="I39">
        <f>I2-346</f>
        <v>2576</v>
      </c>
      <c r="J39">
        <f>J2-354</f>
        <v>1376</v>
      </c>
      <c r="K39">
        <f>K2-310</f>
        <v>602</v>
      </c>
      <c r="L39">
        <f>L2-287</f>
        <v>483</v>
      </c>
      <c r="M39">
        <f>M2-234</f>
        <v>432</v>
      </c>
      <c r="O39">
        <f>O2-255</f>
        <v>1810.8000000000002</v>
      </c>
      <c r="P39">
        <f>P2-249</f>
        <v>4135.0339999999997</v>
      </c>
      <c r="Q39">
        <f>Q2-323</f>
        <v>1934.5309999999999</v>
      </c>
      <c r="R39">
        <f>R2-315</f>
        <v>2055.3580000000002</v>
      </c>
      <c r="S39">
        <f>S2-353</f>
        <v>1819.7310000000002</v>
      </c>
      <c r="T39">
        <f>T2-457</f>
        <v>2090.2559999999999</v>
      </c>
      <c r="U39">
        <f>U2-491</f>
        <v>4878.424</v>
      </c>
      <c r="V39">
        <f>V2-820</f>
        <v>4826.4960000000001</v>
      </c>
      <c r="W39">
        <f>W2-718</f>
        <v>5357.5079999999998</v>
      </c>
      <c r="X39">
        <f>X2-988</f>
        <v>5144.2190000000001</v>
      </c>
      <c r="Y39">
        <f>Y2-1274</f>
        <v>2401.6779999999999</v>
      </c>
      <c r="Z39">
        <f>Z2-1318</f>
        <v>1747.7240000000002</v>
      </c>
    </row>
    <row r="40" spans="1:26">
      <c r="B40">
        <f t="shared" ref="B40:B47" si="1">B3-175</f>
        <v>2572</v>
      </c>
      <c r="C40">
        <f t="shared" ref="C40:C44" si="2">C3-187</f>
        <v>4072</v>
      </c>
      <c r="D40">
        <f t="shared" ref="D40:D45" si="3">D3-198</f>
        <v>1047</v>
      </c>
      <c r="E40">
        <f t="shared" ref="E40:E48" si="4">E3-159</f>
        <v>915</v>
      </c>
      <c r="F40">
        <f t="shared" ref="F40:F49" si="5">F3-238</f>
        <v>1115</v>
      </c>
      <c r="G40">
        <f t="shared" ref="G40:G49" si="6">G3-324</f>
        <v>826</v>
      </c>
      <c r="H40">
        <f t="shared" ref="H40:H55" si="7">H3-365</f>
        <v>1713</v>
      </c>
      <c r="I40">
        <f t="shared" ref="I40:I52" si="8">I3-346</f>
        <v>2751</v>
      </c>
      <c r="J40">
        <f t="shared" ref="J40:J52" si="9">J3-354</f>
        <v>1246</v>
      </c>
      <c r="K40">
        <f t="shared" ref="K40:K51" si="10">K3-310</f>
        <v>400</v>
      </c>
      <c r="L40">
        <f t="shared" ref="L40:L46" si="11">L3-287</f>
        <v>383</v>
      </c>
      <c r="M40">
        <f t="shared" ref="M40:M43" si="12">M3-234</f>
        <v>421</v>
      </c>
      <c r="O40">
        <f t="shared" ref="O40:O43" si="13">O3-255</f>
        <v>1900.1410000000001</v>
      </c>
      <c r="P40">
        <f t="shared" ref="P40:P41" si="14">P3-249</f>
        <v>2809.902</v>
      </c>
      <c r="Q40">
        <f t="shared" ref="Q40:Q42" si="15">Q3-323</f>
        <v>1364.327</v>
      </c>
      <c r="R40">
        <f t="shared" ref="R40:R43" si="16">R3-315</f>
        <v>2263.232</v>
      </c>
      <c r="S40">
        <f t="shared" ref="S40:S45" si="17">S3-353</f>
        <v>1844.2339999999999</v>
      </c>
      <c r="T40">
        <f t="shared" ref="T40:T44" si="18">T3-457</f>
        <v>2941.9789999999998</v>
      </c>
      <c r="U40">
        <f t="shared" ref="U40:U42" si="19">U3-491</f>
        <v>4397.7510000000002</v>
      </c>
      <c r="V40">
        <f t="shared" ref="V40:V42" si="20">V3-820</f>
        <v>4170.3090000000002</v>
      </c>
      <c r="W40">
        <f t="shared" ref="W40:W42" si="21">W3-718</f>
        <v>5362.8879999999999</v>
      </c>
      <c r="X40">
        <f t="shared" ref="X40:X43" si="22">X3-988</f>
        <v>4557.1859999999997</v>
      </c>
      <c r="Y40">
        <f t="shared" ref="Y40" si="23">Y3-1274</f>
        <v>3931.3710000000001</v>
      </c>
      <c r="Z40">
        <f t="shared" ref="Z40:Z41" si="24">Z3-1318</f>
        <v>2855.7129999999997</v>
      </c>
    </row>
    <row r="41" spans="1:26">
      <c r="B41">
        <f t="shared" si="1"/>
        <v>2171</v>
      </c>
      <c r="C41">
        <f t="shared" si="2"/>
        <v>3397</v>
      </c>
      <c r="D41">
        <f t="shared" si="3"/>
        <v>1144</v>
      </c>
      <c r="E41">
        <f t="shared" si="4"/>
        <v>1048</v>
      </c>
      <c r="F41">
        <f t="shared" si="5"/>
        <v>1350</v>
      </c>
      <c r="G41">
        <f t="shared" si="6"/>
        <v>1174</v>
      </c>
      <c r="H41">
        <f t="shared" si="7"/>
        <v>2046</v>
      </c>
      <c r="I41">
        <f t="shared" si="8"/>
        <v>2322</v>
      </c>
      <c r="J41">
        <f t="shared" si="9"/>
        <v>825</v>
      </c>
      <c r="K41">
        <f t="shared" si="10"/>
        <v>1009</v>
      </c>
      <c r="L41">
        <f t="shared" si="11"/>
        <v>363</v>
      </c>
      <c r="M41">
        <f t="shared" si="12"/>
        <v>533</v>
      </c>
      <c r="O41">
        <f t="shared" si="13"/>
        <v>1764.5129999999999</v>
      </c>
      <c r="P41">
        <f t="shared" si="14"/>
        <v>4859.9269999999997</v>
      </c>
      <c r="Q41">
        <f t="shared" si="15"/>
        <v>1099.9570000000001</v>
      </c>
      <c r="R41">
        <f t="shared" si="16"/>
        <v>1380.82</v>
      </c>
      <c r="S41">
        <f t="shared" si="17"/>
        <v>2294.06</v>
      </c>
      <c r="T41">
        <f t="shared" si="18"/>
        <v>2443.317</v>
      </c>
      <c r="U41">
        <f t="shared" si="19"/>
        <v>3183.4560000000001</v>
      </c>
      <c r="V41">
        <f t="shared" si="20"/>
        <v>4295.1080000000002</v>
      </c>
      <c r="W41">
        <f t="shared" si="21"/>
        <v>6939.8829999999998</v>
      </c>
      <c r="X41">
        <f t="shared" si="22"/>
        <v>3453.5119999999997</v>
      </c>
      <c r="Z41">
        <f t="shared" si="24"/>
        <v>3525.8549999999996</v>
      </c>
    </row>
    <row r="42" spans="1:26">
      <c r="B42">
        <f t="shared" si="1"/>
        <v>1678</v>
      </c>
      <c r="C42">
        <f t="shared" si="2"/>
        <v>4192</v>
      </c>
      <c r="D42">
        <f t="shared" si="3"/>
        <v>1530</v>
      </c>
      <c r="E42">
        <f t="shared" si="4"/>
        <v>1277</v>
      </c>
      <c r="F42">
        <f t="shared" si="5"/>
        <v>729</v>
      </c>
      <c r="G42">
        <f t="shared" si="6"/>
        <v>1786</v>
      </c>
      <c r="H42">
        <f t="shared" si="7"/>
        <v>2036</v>
      </c>
      <c r="I42">
        <f t="shared" si="8"/>
        <v>2635</v>
      </c>
      <c r="J42">
        <f t="shared" si="9"/>
        <v>1212</v>
      </c>
      <c r="K42">
        <f t="shared" si="10"/>
        <v>900</v>
      </c>
      <c r="L42">
        <f t="shared" si="11"/>
        <v>382</v>
      </c>
      <c r="M42">
        <f t="shared" si="12"/>
        <v>310</v>
      </c>
      <c r="O42">
        <f t="shared" si="13"/>
        <v>1871.1390000000001</v>
      </c>
      <c r="Q42">
        <f t="shared" si="15"/>
        <v>1057.4780000000001</v>
      </c>
      <c r="R42">
        <f t="shared" si="16"/>
        <v>1662.3920000000001</v>
      </c>
      <c r="S42">
        <f t="shared" si="17"/>
        <v>1921.962</v>
      </c>
      <c r="T42">
        <f t="shared" si="18"/>
        <v>2271.308</v>
      </c>
      <c r="U42">
        <f t="shared" si="19"/>
        <v>2971.9259999999999</v>
      </c>
      <c r="V42">
        <f t="shared" si="20"/>
        <v>4138.0159999999996</v>
      </c>
      <c r="W42">
        <f t="shared" si="21"/>
        <v>3962.2049999999999</v>
      </c>
      <c r="X42">
        <f t="shared" si="22"/>
        <v>4635.0249999999996</v>
      </c>
    </row>
    <row r="43" spans="1:26">
      <c r="B43">
        <f t="shared" si="1"/>
        <v>1906</v>
      </c>
      <c r="C43">
        <f t="shared" si="2"/>
        <v>3813</v>
      </c>
      <c r="D43">
        <f t="shared" si="3"/>
        <v>1583</v>
      </c>
      <c r="E43">
        <f t="shared" si="4"/>
        <v>1015</v>
      </c>
      <c r="F43">
        <f t="shared" si="5"/>
        <v>1572</v>
      </c>
      <c r="G43">
        <f t="shared" si="6"/>
        <v>1242</v>
      </c>
      <c r="H43">
        <f t="shared" si="7"/>
        <v>2380</v>
      </c>
      <c r="I43">
        <f t="shared" si="8"/>
        <v>3098</v>
      </c>
      <c r="J43">
        <f t="shared" si="9"/>
        <v>1834</v>
      </c>
      <c r="K43">
        <f t="shared" si="10"/>
        <v>407</v>
      </c>
      <c r="L43">
        <f t="shared" si="11"/>
        <v>378</v>
      </c>
      <c r="M43">
        <f t="shared" si="12"/>
        <v>395</v>
      </c>
      <c r="O43">
        <f t="shared" si="13"/>
        <v>1664.4570000000001</v>
      </c>
      <c r="R43">
        <f t="shared" si="16"/>
        <v>1750.8000000000002</v>
      </c>
      <c r="S43">
        <f t="shared" si="17"/>
        <v>2260.5880000000002</v>
      </c>
      <c r="T43">
        <f t="shared" si="18"/>
        <v>2133.306</v>
      </c>
      <c r="X43">
        <f t="shared" si="22"/>
        <v>3998.1459999999997</v>
      </c>
    </row>
    <row r="44" spans="1:26">
      <c r="B44">
        <f t="shared" si="1"/>
        <v>2526</v>
      </c>
      <c r="C44">
        <f t="shared" si="2"/>
        <v>3788</v>
      </c>
      <c r="D44">
        <f t="shared" si="3"/>
        <v>2244</v>
      </c>
      <c r="E44">
        <f t="shared" si="4"/>
        <v>1269</v>
      </c>
      <c r="F44">
        <f t="shared" si="5"/>
        <v>1050</v>
      </c>
      <c r="G44">
        <f t="shared" si="6"/>
        <v>1932</v>
      </c>
      <c r="H44">
        <f t="shared" si="7"/>
        <v>1913</v>
      </c>
      <c r="I44">
        <f t="shared" si="8"/>
        <v>3402</v>
      </c>
      <c r="J44">
        <f t="shared" si="9"/>
        <v>1998</v>
      </c>
      <c r="K44">
        <f t="shared" si="10"/>
        <v>886</v>
      </c>
      <c r="L44">
        <f t="shared" si="11"/>
        <v>281</v>
      </c>
      <c r="S44">
        <f t="shared" si="17"/>
        <v>1763.6460000000002</v>
      </c>
      <c r="T44">
        <f t="shared" si="18"/>
        <v>2864.6350000000002</v>
      </c>
    </row>
    <row r="45" spans="1:26">
      <c r="B45">
        <f t="shared" si="1"/>
        <v>1586</v>
      </c>
      <c r="D45">
        <f t="shared" si="3"/>
        <v>1804</v>
      </c>
      <c r="E45">
        <f t="shared" si="4"/>
        <v>1006</v>
      </c>
      <c r="F45">
        <f t="shared" si="5"/>
        <v>1548</v>
      </c>
      <c r="G45">
        <f t="shared" si="6"/>
        <v>1340</v>
      </c>
      <c r="H45">
        <f t="shared" si="7"/>
        <v>2365</v>
      </c>
      <c r="I45">
        <f t="shared" si="8"/>
        <v>2664</v>
      </c>
      <c r="J45">
        <f t="shared" si="9"/>
        <v>1725</v>
      </c>
      <c r="K45">
        <f t="shared" si="10"/>
        <v>427</v>
      </c>
      <c r="L45">
        <f t="shared" si="11"/>
        <v>383</v>
      </c>
      <c r="S45">
        <f t="shared" si="17"/>
        <v>2670.221</v>
      </c>
    </row>
    <row r="46" spans="1:26">
      <c r="B46">
        <f t="shared" si="1"/>
        <v>2083</v>
      </c>
      <c r="E46">
        <f t="shared" si="4"/>
        <v>1096</v>
      </c>
      <c r="F46">
        <f t="shared" si="5"/>
        <v>1180</v>
      </c>
      <c r="G46">
        <f t="shared" si="6"/>
        <v>1975</v>
      </c>
      <c r="H46">
        <f t="shared" si="7"/>
        <v>1935</v>
      </c>
      <c r="I46">
        <f t="shared" si="8"/>
        <v>3061</v>
      </c>
      <c r="J46">
        <f t="shared" si="9"/>
        <v>1531</v>
      </c>
      <c r="K46">
        <f t="shared" si="10"/>
        <v>872</v>
      </c>
      <c r="L46">
        <f t="shared" si="11"/>
        <v>414</v>
      </c>
    </row>
    <row r="47" spans="1:26">
      <c r="B47">
        <f t="shared" si="1"/>
        <v>1819</v>
      </c>
      <c r="E47">
        <f t="shared" si="4"/>
        <v>1165</v>
      </c>
      <c r="F47">
        <f t="shared" si="5"/>
        <v>786</v>
      </c>
      <c r="G47">
        <f t="shared" si="6"/>
        <v>1969</v>
      </c>
      <c r="H47">
        <f t="shared" si="7"/>
        <v>1961</v>
      </c>
      <c r="I47">
        <f t="shared" si="8"/>
        <v>2891</v>
      </c>
      <c r="J47">
        <f t="shared" si="9"/>
        <v>692</v>
      </c>
      <c r="K47">
        <f t="shared" si="10"/>
        <v>788</v>
      </c>
    </row>
    <row r="48" spans="1:26">
      <c r="E48">
        <f t="shared" si="4"/>
        <v>1372</v>
      </c>
      <c r="F48">
        <f t="shared" si="5"/>
        <v>991</v>
      </c>
      <c r="G48">
        <f t="shared" si="6"/>
        <v>1330</v>
      </c>
      <c r="H48">
        <f t="shared" si="7"/>
        <v>1809</v>
      </c>
      <c r="I48">
        <f t="shared" si="8"/>
        <v>2034</v>
      </c>
      <c r="J48">
        <f t="shared" si="9"/>
        <v>1752</v>
      </c>
      <c r="K48">
        <f t="shared" si="10"/>
        <v>946</v>
      </c>
    </row>
    <row r="49" spans="1:26">
      <c r="F49">
        <f t="shared" si="5"/>
        <v>1255</v>
      </c>
      <c r="G49">
        <f t="shared" si="6"/>
        <v>1135</v>
      </c>
      <c r="H49">
        <f t="shared" si="7"/>
        <v>3186</v>
      </c>
      <c r="I49">
        <f t="shared" si="8"/>
        <v>2517</v>
      </c>
      <c r="J49">
        <f t="shared" si="9"/>
        <v>1773</v>
      </c>
      <c r="K49">
        <f t="shared" si="10"/>
        <v>760</v>
      </c>
    </row>
    <row r="50" spans="1:26">
      <c r="H50">
        <f t="shared" si="7"/>
        <v>2372</v>
      </c>
      <c r="I50">
        <f t="shared" si="8"/>
        <v>2871</v>
      </c>
      <c r="J50">
        <f t="shared" si="9"/>
        <v>837</v>
      </c>
      <c r="K50">
        <f t="shared" si="10"/>
        <v>1150</v>
      </c>
    </row>
    <row r="51" spans="1:26">
      <c r="H51">
        <f t="shared" si="7"/>
        <v>2677</v>
      </c>
      <c r="I51">
        <f t="shared" si="8"/>
        <v>3603</v>
      </c>
      <c r="J51">
        <f t="shared" si="9"/>
        <v>1093</v>
      </c>
      <c r="K51">
        <f t="shared" si="10"/>
        <v>830</v>
      </c>
    </row>
    <row r="52" spans="1:26">
      <c r="H52">
        <f t="shared" si="7"/>
        <v>2766</v>
      </c>
      <c r="I52">
        <f t="shared" si="8"/>
        <v>2954</v>
      </c>
      <c r="J52">
        <f t="shared" si="9"/>
        <v>2323</v>
      </c>
    </row>
    <row r="53" spans="1:26">
      <c r="H53">
        <f t="shared" si="7"/>
        <v>1917</v>
      </c>
    </row>
    <row r="54" spans="1:26">
      <c r="H54">
        <f t="shared" si="7"/>
        <v>3066</v>
      </c>
    </row>
    <row r="55" spans="1:26">
      <c r="H55">
        <f t="shared" si="7"/>
        <v>2341</v>
      </c>
    </row>
    <row r="57" spans="1:26">
      <c r="A57" t="s">
        <v>12</v>
      </c>
      <c r="B57">
        <f>AVERAGE(B39:B52)</f>
        <v>2120.3333333333335</v>
      </c>
      <c r="C57">
        <f t="shared" ref="C57:Z57" si="25">AVERAGE(C39:C52)</f>
        <v>4021</v>
      </c>
      <c r="D57">
        <f t="shared" si="25"/>
        <v>1487.2857142857142</v>
      </c>
      <c r="E57">
        <f t="shared" si="25"/>
        <v>1136.5</v>
      </c>
      <c r="F57">
        <f t="shared" si="25"/>
        <v>1126.3636363636363</v>
      </c>
      <c r="G57">
        <f t="shared" si="25"/>
        <v>1509.7272727272727</v>
      </c>
      <c r="H57">
        <f>AVERAGE(H39:H55)</f>
        <v>2236.294117647059</v>
      </c>
      <c r="I57">
        <f t="shared" si="25"/>
        <v>2812.7857142857142</v>
      </c>
      <c r="J57">
        <f t="shared" si="25"/>
        <v>1444.0714285714287</v>
      </c>
      <c r="K57">
        <f t="shared" si="25"/>
        <v>767.46153846153845</v>
      </c>
      <c r="L57">
        <f t="shared" si="25"/>
        <v>383.375</v>
      </c>
      <c r="M57">
        <f t="shared" si="25"/>
        <v>418.2</v>
      </c>
      <c r="O57">
        <f t="shared" si="25"/>
        <v>1802.2099999999998</v>
      </c>
      <c r="P57">
        <f t="shared" si="25"/>
        <v>3934.9543333333331</v>
      </c>
      <c r="Q57">
        <f t="shared" si="25"/>
        <v>1364.0732500000001</v>
      </c>
      <c r="R57">
        <f t="shared" si="25"/>
        <v>1822.5203999999999</v>
      </c>
      <c r="S57">
        <f t="shared" si="25"/>
        <v>2082.0631428571428</v>
      </c>
      <c r="T57">
        <f t="shared" si="25"/>
        <v>2457.4668333333334</v>
      </c>
      <c r="U57">
        <f t="shared" si="25"/>
        <v>3857.8892499999997</v>
      </c>
      <c r="V57">
        <f t="shared" si="25"/>
        <v>4357.48225</v>
      </c>
      <c r="W57">
        <f t="shared" si="25"/>
        <v>5405.621000000001</v>
      </c>
      <c r="X57">
        <f t="shared" si="25"/>
        <v>4357.6175999999996</v>
      </c>
      <c r="Y57">
        <f t="shared" si="25"/>
        <v>3166.5245</v>
      </c>
      <c r="Z57">
        <f t="shared" si="25"/>
        <v>2709.7639999999997</v>
      </c>
    </row>
    <row r="58" spans="1:26">
      <c r="A58" t="s">
        <v>13</v>
      </c>
      <c r="B58">
        <f>STDEV(B39:B52)</f>
        <v>414.86594220302055</v>
      </c>
      <c r="C58">
        <f t="shared" ref="C58:Z58" si="26">STDEV(C39:C52)</f>
        <v>495.86691763012379</v>
      </c>
      <c r="D58">
        <f t="shared" si="26"/>
        <v>443.28986539498607</v>
      </c>
      <c r="E58">
        <f t="shared" si="26"/>
        <v>144.60155985020046</v>
      </c>
      <c r="F58">
        <f t="shared" si="26"/>
        <v>290.07008557494254</v>
      </c>
      <c r="G58">
        <f t="shared" si="26"/>
        <v>410.63489644916729</v>
      </c>
      <c r="H58">
        <f>STDEV(H39:H55)</f>
        <v>469.75761897837822</v>
      </c>
      <c r="I58">
        <f t="shared" si="26"/>
        <v>410.67621132645371</v>
      </c>
      <c r="J58">
        <f t="shared" si="26"/>
        <v>485.10577185816902</v>
      </c>
      <c r="K58">
        <f t="shared" si="26"/>
        <v>240.09359820169283</v>
      </c>
      <c r="L58">
        <f t="shared" si="26"/>
        <v>55.79282467947187</v>
      </c>
      <c r="M58">
        <f t="shared" si="26"/>
        <v>80.035617071401475</v>
      </c>
      <c r="O58">
        <f t="shared" si="26"/>
        <v>93.290445277102208</v>
      </c>
      <c r="P58">
        <f t="shared" si="26"/>
        <v>1039.554967241432</v>
      </c>
      <c r="Q58">
        <f t="shared" si="26"/>
        <v>403.80694634967477</v>
      </c>
      <c r="R58">
        <f t="shared" si="26"/>
        <v>344.35600255085177</v>
      </c>
      <c r="S58">
        <f t="shared" si="26"/>
        <v>335.44650943502762</v>
      </c>
      <c r="T58">
        <f t="shared" si="26"/>
        <v>367.50981662829867</v>
      </c>
      <c r="U58">
        <f t="shared" si="26"/>
        <v>926.05488932473895</v>
      </c>
      <c r="V58">
        <f t="shared" si="26"/>
        <v>319.92900522707129</v>
      </c>
      <c r="W58">
        <f t="shared" si="26"/>
        <v>1216.7649189220224</v>
      </c>
      <c r="X58">
        <f t="shared" si="26"/>
        <v>648.48880898077721</v>
      </c>
      <c r="Y58">
        <f t="shared" si="26"/>
        <v>1081.6562934335936</v>
      </c>
      <c r="Z58">
        <f t="shared" si="26"/>
        <v>898.00517606581673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selection activeCell="A38" sqref="A38"/>
    </sheetView>
  </sheetViews>
  <sheetFormatPr baseColWidth="10" defaultRowHeight="15" x14ac:dyDescent="0"/>
  <cols>
    <col min="1" max="1" width="31.83203125" customWidth="1"/>
  </cols>
  <sheetData>
    <row r="1" spans="1:26">
      <c r="A1" t="s">
        <v>80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</row>
    <row r="2" spans="1:26">
      <c r="B2">
        <v>1801</v>
      </c>
      <c r="C2">
        <v>4004</v>
      </c>
      <c r="D2">
        <v>1668</v>
      </c>
      <c r="E2">
        <v>1085</v>
      </c>
      <c r="F2">
        <v>1162</v>
      </c>
      <c r="G2">
        <v>1803</v>
      </c>
      <c r="H2">
        <v>2058</v>
      </c>
      <c r="I2">
        <v>1575</v>
      </c>
      <c r="J2">
        <v>562</v>
      </c>
      <c r="K2">
        <v>622</v>
      </c>
      <c r="L2">
        <v>457</v>
      </c>
      <c r="M2">
        <v>376</v>
      </c>
      <c r="O2" s="3">
        <v>2536</v>
      </c>
      <c r="P2" s="3">
        <v>4807</v>
      </c>
      <c r="Q2" s="3">
        <v>2069</v>
      </c>
      <c r="R2" s="3">
        <v>2160</v>
      </c>
      <c r="S2" s="3">
        <v>2291</v>
      </c>
      <c r="T2" s="3">
        <v>3358</v>
      </c>
      <c r="U2" s="3">
        <v>4959</v>
      </c>
      <c r="V2" s="3">
        <v>4485</v>
      </c>
      <c r="W2" s="3">
        <v>4776</v>
      </c>
      <c r="X2" s="3">
        <v>9965</v>
      </c>
      <c r="Y2" s="3">
        <v>10399</v>
      </c>
      <c r="Z2" s="3">
        <v>8674</v>
      </c>
    </row>
    <row r="3" spans="1:26">
      <c r="B3">
        <v>1553</v>
      </c>
      <c r="C3">
        <v>3377</v>
      </c>
      <c r="D3">
        <v>1478</v>
      </c>
      <c r="E3">
        <v>1566</v>
      </c>
      <c r="F3">
        <v>1550</v>
      </c>
      <c r="G3">
        <v>1971</v>
      </c>
      <c r="H3">
        <v>2526</v>
      </c>
      <c r="I3">
        <v>1540</v>
      </c>
      <c r="J3">
        <v>1113</v>
      </c>
      <c r="K3">
        <v>566</v>
      </c>
      <c r="L3">
        <v>458</v>
      </c>
      <c r="M3">
        <v>457</v>
      </c>
      <c r="O3" s="3">
        <v>2296</v>
      </c>
      <c r="P3" s="3">
        <v>2967</v>
      </c>
      <c r="Q3" s="3">
        <v>2234</v>
      </c>
      <c r="R3" s="3">
        <v>2209</v>
      </c>
      <c r="S3" s="3">
        <v>2225</v>
      </c>
      <c r="T3" s="3">
        <v>2958</v>
      </c>
      <c r="U3" s="3">
        <v>4231</v>
      </c>
      <c r="V3" s="3">
        <v>4970</v>
      </c>
      <c r="W3" s="3">
        <v>6593</v>
      </c>
      <c r="X3" s="3">
        <v>9919</v>
      </c>
      <c r="Y3" s="3">
        <v>10528</v>
      </c>
      <c r="Z3" s="3">
        <v>8719</v>
      </c>
    </row>
    <row r="4" spans="1:26">
      <c r="B4">
        <v>1894</v>
      </c>
      <c r="C4">
        <v>2985</v>
      </c>
      <c r="D4">
        <v>1417</v>
      </c>
      <c r="E4">
        <v>1596</v>
      </c>
      <c r="F4">
        <v>1539</v>
      </c>
      <c r="G4">
        <v>2021</v>
      </c>
      <c r="H4">
        <v>2271</v>
      </c>
      <c r="I4">
        <v>1821</v>
      </c>
      <c r="J4">
        <v>898</v>
      </c>
      <c r="K4">
        <v>687</v>
      </c>
      <c r="L4">
        <v>503</v>
      </c>
      <c r="M4">
        <v>565</v>
      </c>
      <c r="O4" s="3">
        <v>2530</v>
      </c>
      <c r="P4" s="3">
        <v>3903</v>
      </c>
      <c r="Q4" s="3">
        <v>1829</v>
      </c>
      <c r="R4" s="3">
        <v>2384</v>
      </c>
      <c r="S4" s="3">
        <v>2572</v>
      </c>
      <c r="T4" s="3">
        <v>2146</v>
      </c>
      <c r="U4" s="3">
        <v>5007</v>
      </c>
      <c r="V4" s="3">
        <v>5439</v>
      </c>
      <c r="W4" s="3">
        <v>5060</v>
      </c>
      <c r="X4" s="3">
        <v>6242</v>
      </c>
      <c r="Y4" s="3"/>
      <c r="Z4" s="3"/>
    </row>
    <row r="5" spans="1:26">
      <c r="B5">
        <v>1457</v>
      </c>
      <c r="C5">
        <v>4280</v>
      </c>
      <c r="D5">
        <v>1809</v>
      </c>
      <c r="E5">
        <v>764</v>
      </c>
      <c r="F5">
        <v>1267</v>
      </c>
      <c r="G5">
        <v>1413</v>
      </c>
      <c r="H5">
        <v>1581</v>
      </c>
      <c r="I5">
        <v>1170</v>
      </c>
      <c r="J5">
        <v>1018</v>
      </c>
      <c r="K5">
        <v>494</v>
      </c>
      <c r="L5">
        <v>475</v>
      </c>
      <c r="O5" s="3">
        <v>2459</v>
      </c>
      <c r="P5" s="3">
        <v>4414</v>
      </c>
      <c r="Q5" s="3">
        <v>1420</v>
      </c>
      <c r="R5" s="3">
        <v>2577</v>
      </c>
      <c r="S5" s="3">
        <v>2145</v>
      </c>
      <c r="T5" s="3">
        <v>2623</v>
      </c>
      <c r="U5" s="3">
        <v>5077</v>
      </c>
      <c r="V5" s="3">
        <v>5205</v>
      </c>
      <c r="W5" s="3">
        <v>9160</v>
      </c>
      <c r="X5" s="3">
        <v>6687</v>
      </c>
      <c r="Y5" s="3"/>
      <c r="Z5" s="3"/>
    </row>
    <row r="6" spans="1:26">
      <c r="B6">
        <v>1678</v>
      </c>
      <c r="C6">
        <v>3693</v>
      </c>
      <c r="D6">
        <v>1682</v>
      </c>
      <c r="E6">
        <v>1596</v>
      </c>
      <c r="F6">
        <v>818</v>
      </c>
      <c r="G6">
        <v>1443</v>
      </c>
      <c r="H6">
        <v>1743</v>
      </c>
      <c r="I6">
        <v>1471</v>
      </c>
      <c r="J6">
        <v>683</v>
      </c>
      <c r="K6">
        <v>556</v>
      </c>
      <c r="L6">
        <v>463</v>
      </c>
      <c r="O6" s="3">
        <v>2082</v>
      </c>
      <c r="P6" s="3">
        <v>3105</v>
      </c>
      <c r="Q6" s="3">
        <v>1616</v>
      </c>
      <c r="R6" s="3">
        <v>2092</v>
      </c>
      <c r="S6" s="3">
        <v>1732</v>
      </c>
      <c r="T6" s="3">
        <v>2712</v>
      </c>
      <c r="U6" s="3">
        <v>5160</v>
      </c>
      <c r="V6" s="3">
        <v>5652</v>
      </c>
      <c r="W6" s="3"/>
      <c r="X6" s="3"/>
      <c r="Y6" s="3"/>
      <c r="Z6" s="3"/>
    </row>
    <row r="7" spans="1:26">
      <c r="B7">
        <v>2367</v>
      </c>
      <c r="C7">
        <v>3453</v>
      </c>
      <c r="D7">
        <v>1270</v>
      </c>
      <c r="E7">
        <v>1149</v>
      </c>
      <c r="F7">
        <v>965</v>
      </c>
      <c r="G7">
        <v>1472</v>
      </c>
      <c r="H7">
        <v>1634</v>
      </c>
      <c r="I7">
        <v>1369</v>
      </c>
      <c r="J7">
        <v>1116</v>
      </c>
      <c r="K7">
        <v>558</v>
      </c>
      <c r="L7">
        <v>456</v>
      </c>
      <c r="O7" s="3">
        <v>1595</v>
      </c>
      <c r="P7" s="3">
        <v>4427</v>
      </c>
      <c r="Q7" s="3"/>
      <c r="R7" s="3">
        <v>1927</v>
      </c>
      <c r="S7" s="3">
        <v>1880</v>
      </c>
      <c r="T7" s="3">
        <v>2463</v>
      </c>
      <c r="U7" s="3">
        <v>4287</v>
      </c>
      <c r="V7" s="3">
        <v>5607</v>
      </c>
      <c r="W7" s="3"/>
      <c r="X7" s="3"/>
      <c r="Y7" s="3"/>
      <c r="Z7" s="3"/>
    </row>
    <row r="8" spans="1:26">
      <c r="B8">
        <v>1981</v>
      </c>
      <c r="C8">
        <v>4374</v>
      </c>
      <c r="D8">
        <v>1266</v>
      </c>
      <c r="E8">
        <v>1368</v>
      </c>
      <c r="F8">
        <v>1372</v>
      </c>
      <c r="G8">
        <v>1368</v>
      </c>
      <c r="H8">
        <v>2795</v>
      </c>
      <c r="I8">
        <v>1500</v>
      </c>
      <c r="J8">
        <v>948</v>
      </c>
      <c r="K8">
        <v>621</v>
      </c>
      <c r="O8" s="3">
        <v>1703</v>
      </c>
      <c r="P8" s="3">
        <v>3484</v>
      </c>
      <c r="Q8" s="3"/>
      <c r="R8" s="3">
        <v>2039</v>
      </c>
      <c r="S8" s="3">
        <v>2752</v>
      </c>
      <c r="T8" s="3">
        <v>2769</v>
      </c>
      <c r="U8" s="3"/>
      <c r="V8" s="3">
        <v>4358</v>
      </c>
      <c r="W8" s="3"/>
      <c r="X8" s="3"/>
      <c r="Y8" s="3"/>
      <c r="Z8" s="3"/>
    </row>
    <row r="9" spans="1:26">
      <c r="B9">
        <v>1651</v>
      </c>
      <c r="C9">
        <v>4600</v>
      </c>
      <c r="F9">
        <v>1397</v>
      </c>
      <c r="G9">
        <v>1464</v>
      </c>
      <c r="H9">
        <v>1797</v>
      </c>
      <c r="I9">
        <v>1593</v>
      </c>
      <c r="J9">
        <v>1652</v>
      </c>
      <c r="K9">
        <v>555</v>
      </c>
      <c r="O9" s="3">
        <v>1323</v>
      </c>
      <c r="P9" s="3">
        <v>2807</v>
      </c>
      <c r="Q9" s="3"/>
      <c r="R9" s="3">
        <v>1849</v>
      </c>
      <c r="S9" s="3">
        <v>2259</v>
      </c>
      <c r="T9" s="3">
        <v>3344</v>
      </c>
      <c r="U9" s="3"/>
      <c r="V9" s="3">
        <v>5083</v>
      </c>
      <c r="W9" s="3"/>
      <c r="X9" s="3"/>
      <c r="Y9" s="3"/>
      <c r="Z9" s="3"/>
    </row>
    <row r="10" spans="1:26">
      <c r="B10">
        <v>1775</v>
      </c>
      <c r="C10">
        <v>3486</v>
      </c>
      <c r="F10">
        <v>820</v>
      </c>
      <c r="G10">
        <v>1866</v>
      </c>
      <c r="H10">
        <v>3075</v>
      </c>
      <c r="I10">
        <v>2163</v>
      </c>
      <c r="J10">
        <v>1095</v>
      </c>
      <c r="K10">
        <v>511</v>
      </c>
      <c r="O10" s="3">
        <v>1701</v>
      </c>
      <c r="P10" s="3"/>
      <c r="Q10" s="3"/>
      <c r="R10" s="3">
        <v>1726</v>
      </c>
      <c r="S10" s="3">
        <v>2334</v>
      </c>
      <c r="T10" s="3"/>
      <c r="U10" s="3"/>
      <c r="V10" s="3"/>
      <c r="W10" s="3"/>
      <c r="X10" s="3"/>
      <c r="Y10" s="3"/>
      <c r="Z10" s="3"/>
    </row>
    <row r="11" spans="1:26">
      <c r="B11">
        <v>1937</v>
      </c>
      <c r="C11">
        <v>3519</v>
      </c>
      <c r="F11">
        <v>754</v>
      </c>
      <c r="G11">
        <v>2296</v>
      </c>
      <c r="H11">
        <v>3122</v>
      </c>
      <c r="J11">
        <v>916</v>
      </c>
      <c r="K11">
        <v>630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B12">
        <v>1807</v>
      </c>
      <c r="C12">
        <v>4999</v>
      </c>
      <c r="H12">
        <v>1945</v>
      </c>
      <c r="J12">
        <v>1395</v>
      </c>
      <c r="K12">
        <v>439</v>
      </c>
    </row>
    <row r="13" spans="1:26">
      <c r="B13">
        <v>1521</v>
      </c>
      <c r="C13">
        <v>4628</v>
      </c>
      <c r="H13">
        <v>2697</v>
      </c>
      <c r="J13">
        <v>977</v>
      </c>
      <c r="K13">
        <v>735</v>
      </c>
    </row>
    <row r="14" spans="1:26">
      <c r="C14">
        <v>4796</v>
      </c>
      <c r="K14">
        <v>548</v>
      </c>
    </row>
    <row r="15" spans="1:26">
      <c r="C15">
        <v>4579</v>
      </c>
      <c r="K15">
        <v>540</v>
      </c>
    </row>
    <row r="21" spans="1:26">
      <c r="A21" t="s">
        <v>81</v>
      </c>
      <c r="B21">
        <v>186</v>
      </c>
      <c r="C21">
        <v>172</v>
      </c>
      <c r="D21">
        <v>206</v>
      </c>
      <c r="E21">
        <v>229</v>
      </c>
      <c r="F21">
        <v>244</v>
      </c>
      <c r="G21">
        <v>268</v>
      </c>
      <c r="H21">
        <v>371</v>
      </c>
      <c r="I21">
        <v>359</v>
      </c>
      <c r="J21">
        <v>355</v>
      </c>
      <c r="K21">
        <v>357</v>
      </c>
      <c r="L21">
        <v>308</v>
      </c>
      <c r="M21">
        <v>308</v>
      </c>
      <c r="O21">
        <v>287.16699999999997</v>
      </c>
      <c r="P21">
        <v>247.07300000000001</v>
      </c>
      <c r="Q21">
        <v>229.42599999999999</v>
      </c>
      <c r="R21">
        <v>230.07</v>
      </c>
      <c r="S21">
        <v>445.40800000000002</v>
      </c>
      <c r="T21">
        <v>588.37699999999995</v>
      </c>
      <c r="U21">
        <v>1379.1179999999999</v>
      </c>
      <c r="V21">
        <v>1493.325</v>
      </c>
      <c r="W21">
        <v>1553.3150000000001</v>
      </c>
      <c r="X21">
        <v>2459.5940000000001</v>
      </c>
      <c r="Y21">
        <v>2627.4810000000002</v>
      </c>
      <c r="Z21">
        <v>3092.3890000000001</v>
      </c>
    </row>
    <row r="22" spans="1:26">
      <c r="B22">
        <v>180</v>
      </c>
      <c r="C22">
        <v>207</v>
      </c>
      <c r="D22">
        <v>227</v>
      </c>
      <c r="E22">
        <v>243</v>
      </c>
      <c r="F22">
        <v>309</v>
      </c>
      <c r="G22">
        <v>384</v>
      </c>
      <c r="H22">
        <v>358</v>
      </c>
      <c r="I22">
        <v>398</v>
      </c>
      <c r="J22">
        <v>368</v>
      </c>
      <c r="K22">
        <v>377</v>
      </c>
      <c r="L22">
        <v>368</v>
      </c>
      <c r="M22">
        <v>368</v>
      </c>
      <c r="O22">
        <v>250</v>
      </c>
      <c r="P22">
        <v>322.30700000000002</v>
      </c>
      <c r="Q22">
        <v>236.386</v>
      </c>
      <c r="R22">
        <v>250.93600000000001</v>
      </c>
      <c r="S22">
        <v>355</v>
      </c>
      <c r="T22">
        <v>399.26100000000002</v>
      </c>
      <c r="U22">
        <v>1046.837</v>
      </c>
      <c r="V22">
        <v>1742.6790000000001</v>
      </c>
      <c r="W22">
        <v>2365.4360000000001</v>
      </c>
      <c r="X22">
        <v>2331.0889999999999</v>
      </c>
      <c r="Y22">
        <v>2693.8690000000001</v>
      </c>
      <c r="Z22">
        <v>3285.2510000000002</v>
      </c>
    </row>
    <row r="23" spans="1:26">
      <c r="B23">
        <v>169</v>
      </c>
      <c r="C23">
        <v>191</v>
      </c>
      <c r="D23">
        <v>215</v>
      </c>
      <c r="E23">
        <v>205</v>
      </c>
      <c r="F23">
        <v>250</v>
      </c>
      <c r="G23">
        <v>308</v>
      </c>
      <c r="H23">
        <v>389</v>
      </c>
      <c r="I23">
        <v>380</v>
      </c>
      <c r="J23">
        <v>281</v>
      </c>
      <c r="K23">
        <v>355</v>
      </c>
      <c r="L23">
        <v>457</v>
      </c>
      <c r="U23">
        <v>1187.038</v>
      </c>
      <c r="V23">
        <v>1398.085</v>
      </c>
      <c r="W23">
        <v>1343.3989999999999</v>
      </c>
      <c r="X23">
        <v>1771.3910000000001</v>
      </c>
      <c r="Y23">
        <v>2676.8739999999998</v>
      </c>
    </row>
    <row r="24" spans="1:26">
      <c r="V24">
        <v>1585.8789999999999</v>
      </c>
      <c r="W24">
        <v>1543.223</v>
      </c>
      <c r="X24">
        <v>2220.8629999999998</v>
      </c>
    </row>
    <row r="35" spans="1:26" s="5" customFormat="1">
      <c r="A35" s="5" t="s">
        <v>110</v>
      </c>
      <c r="B35" s="5">
        <f>AVERAGE(B21:B33)</f>
        <v>178.33333333333334</v>
      </c>
      <c r="C35" s="5">
        <f t="shared" ref="C35:Z35" si="0">AVERAGE(C21:C33)</f>
        <v>190</v>
      </c>
      <c r="D35" s="5">
        <f t="shared" si="0"/>
        <v>216</v>
      </c>
      <c r="E35" s="5">
        <f t="shared" si="0"/>
        <v>225.66666666666666</v>
      </c>
      <c r="F35" s="5">
        <f t="shared" si="0"/>
        <v>267.66666666666669</v>
      </c>
      <c r="G35" s="5">
        <f t="shared" si="0"/>
        <v>320</v>
      </c>
      <c r="H35" s="5">
        <f t="shared" si="0"/>
        <v>372.66666666666669</v>
      </c>
      <c r="I35" s="5">
        <f t="shared" si="0"/>
        <v>379</v>
      </c>
      <c r="J35" s="5">
        <f t="shared" si="0"/>
        <v>334.66666666666669</v>
      </c>
      <c r="K35" s="5">
        <f t="shared" si="0"/>
        <v>363</v>
      </c>
      <c r="L35" s="5">
        <f t="shared" si="0"/>
        <v>377.66666666666669</v>
      </c>
      <c r="M35" s="5">
        <f t="shared" si="0"/>
        <v>338</v>
      </c>
      <c r="O35" s="5">
        <f t="shared" si="0"/>
        <v>268.58349999999996</v>
      </c>
      <c r="P35" s="5">
        <f t="shared" si="0"/>
        <v>284.69</v>
      </c>
      <c r="Q35" s="5">
        <f t="shared" si="0"/>
        <v>232.90600000000001</v>
      </c>
      <c r="R35" s="5">
        <f t="shared" si="0"/>
        <v>240.50299999999999</v>
      </c>
      <c r="S35" s="5">
        <f t="shared" si="0"/>
        <v>400.20400000000001</v>
      </c>
      <c r="T35" s="5">
        <f t="shared" si="0"/>
        <v>493.81899999999996</v>
      </c>
      <c r="U35" s="5">
        <f t="shared" si="0"/>
        <v>1204.3309999999999</v>
      </c>
      <c r="V35" s="5">
        <f t="shared" si="0"/>
        <v>1554.992</v>
      </c>
      <c r="W35" s="5">
        <f t="shared" si="0"/>
        <v>1701.3432499999999</v>
      </c>
      <c r="X35" s="5">
        <f t="shared" si="0"/>
        <v>2195.73425</v>
      </c>
      <c r="Y35" s="5">
        <f t="shared" si="0"/>
        <v>2666.0746666666669</v>
      </c>
      <c r="Z35" s="5">
        <f t="shared" si="0"/>
        <v>3188.82</v>
      </c>
    </row>
    <row r="38" spans="1:26">
      <c r="A38" t="s">
        <v>122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48</v>
      </c>
      <c r="P38" t="s">
        <v>49</v>
      </c>
      <c r="Q38" t="s">
        <v>50</v>
      </c>
      <c r="R38" t="s">
        <v>51</v>
      </c>
      <c r="S38" t="s">
        <v>52</v>
      </c>
      <c r="T38" t="s">
        <v>53</v>
      </c>
      <c r="U38" t="s">
        <v>54</v>
      </c>
      <c r="V38" t="s">
        <v>55</v>
      </c>
      <c r="W38" t="s">
        <v>56</v>
      </c>
      <c r="X38" t="s">
        <v>57</v>
      </c>
      <c r="Y38" t="s">
        <v>58</v>
      </c>
      <c r="Z38" t="s">
        <v>59</v>
      </c>
    </row>
    <row r="39" spans="1:26">
      <c r="B39">
        <f>B2-178</f>
        <v>1623</v>
      </c>
      <c r="C39">
        <f>C2-190</f>
        <v>3814</v>
      </c>
      <c r="D39">
        <f>D2-216</f>
        <v>1452</v>
      </c>
      <c r="E39">
        <f>E2-226</f>
        <v>859</v>
      </c>
      <c r="F39">
        <f>F2-268</f>
        <v>894</v>
      </c>
      <c r="G39">
        <f>G2-320</f>
        <v>1483</v>
      </c>
      <c r="H39">
        <f>H2-373</f>
        <v>1685</v>
      </c>
      <c r="I39">
        <f>I2-379</f>
        <v>1196</v>
      </c>
      <c r="J39">
        <f>J2-334</f>
        <v>228</v>
      </c>
      <c r="K39">
        <f>K2-363</f>
        <v>259</v>
      </c>
      <c r="L39">
        <f>L2-378</f>
        <v>79</v>
      </c>
      <c r="M39">
        <f>M2-338</f>
        <v>38</v>
      </c>
      <c r="O39">
        <f>O2-268</f>
        <v>2268</v>
      </c>
      <c r="P39">
        <f>P2-285</f>
        <v>4522</v>
      </c>
      <c r="Q39">
        <f>Q2-233</f>
        <v>1836</v>
      </c>
      <c r="R39">
        <f>R2-241</f>
        <v>1919</v>
      </c>
      <c r="S39">
        <f>S2-400</f>
        <v>1891</v>
      </c>
      <c r="T39">
        <f>T2-494</f>
        <v>2864</v>
      </c>
      <c r="U39">
        <f>U2-1204</f>
        <v>3755</v>
      </c>
      <c r="V39">
        <f>V2-1555</f>
        <v>2930</v>
      </c>
      <c r="W39">
        <f>W2-1701</f>
        <v>3075</v>
      </c>
      <c r="X39">
        <f>X2-2196</f>
        <v>7769</v>
      </c>
      <c r="Y39">
        <f>Y2-2666</f>
        <v>7733</v>
      </c>
      <c r="Z39">
        <f>Z2-3188</f>
        <v>5486</v>
      </c>
    </row>
    <row r="40" spans="1:26">
      <c r="B40">
        <f t="shared" ref="B40:B50" si="1">B3-178</f>
        <v>1375</v>
      </c>
      <c r="C40">
        <f t="shared" ref="C40:C50" si="2">C3-190</f>
        <v>3187</v>
      </c>
      <c r="D40">
        <f t="shared" ref="D40:D45" si="3">D3-216</f>
        <v>1262</v>
      </c>
      <c r="E40">
        <f t="shared" ref="E40:E45" si="4">E3-226</f>
        <v>1340</v>
      </c>
      <c r="F40">
        <f t="shared" ref="F40:F48" si="5">F3-268</f>
        <v>1282</v>
      </c>
      <c r="G40">
        <f t="shared" ref="G40:G48" si="6">G3-320</f>
        <v>1651</v>
      </c>
      <c r="H40">
        <f t="shared" ref="H40:H50" si="7">H3-373</f>
        <v>2153</v>
      </c>
      <c r="I40">
        <f t="shared" ref="I40:I47" si="8">I3-379</f>
        <v>1161</v>
      </c>
      <c r="J40">
        <f t="shared" ref="J40:J50" si="9">J3-334</f>
        <v>779</v>
      </c>
      <c r="K40">
        <f t="shared" ref="K40:K51" si="10">K3-363</f>
        <v>203</v>
      </c>
      <c r="L40">
        <f t="shared" ref="L40:L44" si="11">L3-378</f>
        <v>80</v>
      </c>
      <c r="M40">
        <f t="shared" ref="M40:M41" si="12">M3-338</f>
        <v>119</v>
      </c>
      <c r="O40">
        <f t="shared" ref="O40:O47" si="13">O3-268</f>
        <v>2028</v>
      </c>
      <c r="P40">
        <f t="shared" ref="P40:P46" si="14">P3-285</f>
        <v>2682</v>
      </c>
      <c r="Q40">
        <f t="shared" ref="Q40:Q43" si="15">Q3-233</f>
        <v>2001</v>
      </c>
      <c r="R40">
        <f t="shared" ref="R40:R47" si="16">R3-241</f>
        <v>1968</v>
      </c>
      <c r="S40">
        <f t="shared" ref="S40:S47" si="17">S3-400</f>
        <v>1825</v>
      </c>
      <c r="T40">
        <f t="shared" ref="T40:T46" si="18">T3-494</f>
        <v>2464</v>
      </c>
      <c r="U40">
        <f t="shared" ref="U40:U44" si="19">U3-1204</f>
        <v>3027</v>
      </c>
      <c r="V40">
        <f t="shared" ref="V40:V46" si="20">V3-1555</f>
        <v>3415</v>
      </c>
      <c r="W40">
        <f t="shared" ref="W40:W42" si="21">W3-1701</f>
        <v>4892</v>
      </c>
      <c r="X40">
        <f t="shared" ref="X40:X42" si="22">X3-2196</f>
        <v>7723</v>
      </c>
      <c r="Y40">
        <f t="shared" ref="Y40" si="23">Y3-2666</f>
        <v>7862</v>
      </c>
      <c r="Z40">
        <f t="shared" ref="Z40" si="24">Z3-3188</f>
        <v>5531</v>
      </c>
    </row>
    <row r="41" spans="1:26">
      <c r="B41">
        <f t="shared" si="1"/>
        <v>1716</v>
      </c>
      <c r="C41">
        <f t="shared" si="2"/>
        <v>2795</v>
      </c>
      <c r="D41">
        <f t="shared" si="3"/>
        <v>1201</v>
      </c>
      <c r="E41">
        <f t="shared" si="4"/>
        <v>1370</v>
      </c>
      <c r="F41">
        <f t="shared" si="5"/>
        <v>1271</v>
      </c>
      <c r="G41">
        <f t="shared" si="6"/>
        <v>1701</v>
      </c>
      <c r="H41">
        <f t="shared" si="7"/>
        <v>1898</v>
      </c>
      <c r="I41">
        <f t="shared" si="8"/>
        <v>1442</v>
      </c>
      <c r="J41">
        <f t="shared" si="9"/>
        <v>564</v>
      </c>
      <c r="K41">
        <f t="shared" si="10"/>
        <v>324</v>
      </c>
      <c r="L41">
        <f t="shared" si="11"/>
        <v>125</v>
      </c>
      <c r="M41">
        <f t="shared" si="12"/>
        <v>227</v>
      </c>
      <c r="O41">
        <f t="shared" si="13"/>
        <v>2262</v>
      </c>
      <c r="P41">
        <f t="shared" si="14"/>
        <v>3618</v>
      </c>
      <c r="Q41">
        <f t="shared" si="15"/>
        <v>1596</v>
      </c>
      <c r="R41">
        <f t="shared" si="16"/>
        <v>2143</v>
      </c>
      <c r="S41">
        <f t="shared" si="17"/>
        <v>2172</v>
      </c>
      <c r="T41">
        <f t="shared" si="18"/>
        <v>1652</v>
      </c>
      <c r="U41">
        <f t="shared" si="19"/>
        <v>3803</v>
      </c>
      <c r="V41">
        <f t="shared" si="20"/>
        <v>3884</v>
      </c>
      <c r="W41">
        <f t="shared" si="21"/>
        <v>3359</v>
      </c>
      <c r="X41">
        <f t="shared" si="22"/>
        <v>4046</v>
      </c>
    </row>
    <row r="42" spans="1:26">
      <c r="B42">
        <f t="shared" si="1"/>
        <v>1279</v>
      </c>
      <c r="C42">
        <f t="shared" si="2"/>
        <v>4090</v>
      </c>
      <c r="D42">
        <f t="shared" si="3"/>
        <v>1593</v>
      </c>
      <c r="E42">
        <f t="shared" si="4"/>
        <v>538</v>
      </c>
      <c r="F42">
        <f t="shared" si="5"/>
        <v>999</v>
      </c>
      <c r="G42">
        <f t="shared" si="6"/>
        <v>1093</v>
      </c>
      <c r="H42">
        <f t="shared" si="7"/>
        <v>1208</v>
      </c>
      <c r="I42">
        <f t="shared" si="8"/>
        <v>791</v>
      </c>
      <c r="J42">
        <f t="shared" si="9"/>
        <v>684</v>
      </c>
      <c r="K42">
        <f t="shared" si="10"/>
        <v>131</v>
      </c>
      <c r="L42">
        <f t="shared" si="11"/>
        <v>97</v>
      </c>
      <c r="O42">
        <f t="shared" si="13"/>
        <v>2191</v>
      </c>
      <c r="P42">
        <f t="shared" si="14"/>
        <v>4129</v>
      </c>
      <c r="Q42">
        <f t="shared" si="15"/>
        <v>1187</v>
      </c>
      <c r="R42">
        <f t="shared" si="16"/>
        <v>2336</v>
      </c>
      <c r="S42">
        <f t="shared" si="17"/>
        <v>1745</v>
      </c>
      <c r="T42">
        <f t="shared" si="18"/>
        <v>2129</v>
      </c>
      <c r="U42">
        <f t="shared" si="19"/>
        <v>3873</v>
      </c>
      <c r="V42">
        <f t="shared" si="20"/>
        <v>3650</v>
      </c>
      <c r="W42">
        <f t="shared" si="21"/>
        <v>7459</v>
      </c>
      <c r="X42">
        <f t="shared" si="22"/>
        <v>4491</v>
      </c>
    </row>
    <row r="43" spans="1:26">
      <c r="B43">
        <f t="shared" si="1"/>
        <v>1500</v>
      </c>
      <c r="C43">
        <f t="shared" si="2"/>
        <v>3503</v>
      </c>
      <c r="D43">
        <f t="shared" si="3"/>
        <v>1466</v>
      </c>
      <c r="E43">
        <f t="shared" si="4"/>
        <v>1370</v>
      </c>
      <c r="F43">
        <f t="shared" si="5"/>
        <v>550</v>
      </c>
      <c r="G43">
        <f t="shared" si="6"/>
        <v>1123</v>
      </c>
      <c r="H43">
        <f t="shared" si="7"/>
        <v>1370</v>
      </c>
      <c r="I43">
        <f t="shared" si="8"/>
        <v>1092</v>
      </c>
      <c r="J43">
        <f t="shared" si="9"/>
        <v>349</v>
      </c>
      <c r="K43">
        <f t="shared" si="10"/>
        <v>193</v>
      </c>
      <c r="L43">
        <f t="shared" si="11"/>
        <v>85</v>
      </c>
      <c r="O43">
        <f t="shared" si="13"/>
        <v>1814</v>
      </c>
      <c r="P43">
        <f t="shared" si="14"/>
        <v>2820</v>
      </c>
      <c r="Q43">
        <f t="shared" si="15"/>
        <v>1383</v>
      </c>
      <c r="R43">
        <f t="shared" si="16"/>
        <v>1851</v>
      </c>
      <c r="S43">
        <f t="shared" si="17"/>
        <v>1332</v>
      </c>
      <c r="T43">
        <f t="shared" si="18"/>
        <v>2218</v>
      </c>
      <c r="U43">
        <f t="shared" si="19"/>
        <v>3956</v>
      </c>
      <c r="V43">
        <f t="shared" si="20"/>
        <v>4097</v>
      </c>
    </row>
    <row r="44" spans="1:26">
      <c r="B44">
        <f t="shared" si="1"/>
        <v>2189</v>
      </c>
      <c r="C44">
        <f t="shared" si="2"/>
        <v>3263</v>
      </c>
      <c r="D44">
        <f t="shared" si="3"/>
        <v>1054</v>
      </c>
      <c r="E44">
        <f t="shared" si="4"/>
        <v>923</v>
      </c>
      <c r="F44">
        <f t="shared" si="5"/>
        <v>697</v>
      </c>
      <c r="G44">
        <f t="shared" si="6"/>
        <v>1152</v>
      </c>
      <c r="H44">
        <f t="shared" si="7"/>
        <v>1261</v>
      </c>
      <c r="I44">
        <f t="shared" si="8"/>
        <v>990</v>
      </c>
      <c r="J44">
        <f t="shared" si="9"/>
        <v>782</v>
      </c>
      <c r="K44">
        <f t="shared" si="10"/>
        <v>195</v>
      </c>
      <c r="L44">
        <f t="shared" si="11"/>
        <v>78</v>
      </c>
      <c r="O44">
        <f t="shared" si="13"/>
        <v>1327</v>
      </c>
      <c r="P44">
        <f t="shared" si="14"/>
        <v>4142</v>
      </c>
      <c r="R44">
        <f t="shared" si="16"/>
        <v>1686</v>
      </c>
      <c r="S44">
        <f t="shared" si="17"/>
        <v>1480</v>
      </c>
      <c r="T44">
        <f t="shared" si="18"/>
        <v>1969</v>
      </c>
      <c r="U44">
        <f t="shared" si="19"/>
        <v>3083</v>
      </c>
      <c r="V44">
        <f t="shared" si="20"/>
        <v>4052</v>
      </c>
    </row>
    <row r="45" spans="1:26">
      <c r="B45">
        <f t="shared" si="1"/>
        <v>1803</v>
      </c>
      <c r="C45">
        <f t="shared" si="2"/>
        <v>4184</v>
      </c>
      <c r="D45">
        <f t="shared" si="3"/>
        <v>1050</v>
      </c>
      <c r="E45">
        <f t="shared" si="4"/>
        <v>1142</v>
      </c>
      <c r="F45">
        <f t="shared" si="5"/>
        <v>1104</v>
      </c>
      <c r="G45">
        <f t="shared" si="6"/>
        <v>1048</v>
      </c>
      <c r="H45">
        <f t="shared" si="7"/>
        <v>2422</v>
      </c>
      <c r="I45">
        <f t="shared" si="8"/>
        <v>1121</v>
      </c>
      <c r="J45">
        <f t="shared" si="9"/>
        <v>614</v>
      </c>
      <c r="K45">
        <f t="shared" si="10"/>
        <v>258</v>
      </c>
      <c r="O45">
        <f t="shared" si="13"/>
        <v>1435</v>
      </c>
      <c r="P45">
        <f t="shared" si="14"/>
        <v>3199</v>
      </c>
      <c r="R45">
        <f t="shared" si="16"/>
        <v>1798</v>
      </c>
      <c r="S45">
        <f t="shared" si="17"/>
        <v>2352</v>
      </c>
      <c r="T45">
        <f t="shared" si="18"/>
        <v>2275</v>
      </c>
      <c r="V45">
        <f t="shared" si="20"/>
        <v>2803</v>
      </c>
    </row>
    <row r="46" spans="1:26">
      <c r="B46">
        <f t="shared" si="1"/>
        <v>1473</v>
      </c>
      <c r="C46">
        <f t="shared" si="2"/>
        <v>4410</v>
      </c>
      <c r="F46">
        <f t="shared" si="5"/>
        <v>1129</v>
      </c>
      <c r="G46">
        <f t="shared" si="6"/>
        <v>1144</v>
      </c>
      <c r="H46">
        <f t="shared" si="7"/>
        <v>1424</v>
      </c>
      <c r="I46">
        <f t="shared" si="8"/>
        <v>1214</v>
      </c>
      <c r="J46">
        <f t="shared" si="9"/>
        <v>1318</v>
      </c>
      <c r="K46">
        <f t="shared" si="10"/>
        <v>192</v>
      </c>
      <c r="O46">
        <f t="shared" si="13"/>
        <v>1055</v>
      </c>
      <c r="P46">
        <f t="shared" si="14"/>
        <v>2522</v>
      </c>
      <c r="R46">
        <f t="shared" si="16"/>
        <v>1608</v>
      </c>
      <c r="S46">
        <f t="shared" si="17"/>
        <v>1859</v>
      </c>
      <c r="T46">
        <f t="shared" si="18"/>
        <v>2850</v>
      </c>
      <c r="V46">
        <f t="shared" si="20"/>
        <v>3528</v>
      </c>
    </row>
    <row r="47" spans="1:26">
      <c r="B47">
        <f t="shared" si="1"/>
        <v>1597</v>
      </c>
      <c r="C47">
        <f t="shared" si="2"/>
        <v>3296</v>
      </c>
      <c r="F47">
        <f t="shared" si="5"/>
        <v>552</v>
      </c>
      <c r="G47">
        <f t="shared" si="6"/>
        <v>1546</v>
      </c>
      <c r="H47">
        <f t="shared" si="7"/>
        <v>2702</v>
      </c>
      <c r="I47">
        <f t="shared" si="8"/>
        <v>1784</v>
      </c>
      <c r="J47">
        <f t="shared" si="9"/>
        <v>761</v>
      </c>
      <c r="K47">
        <f t="shared" si="10"/>
        <v>148</v>
      </c>
      <c r="O47">
        <f t="shared" si="13"/>
        <v>1433</v>
      </c>
      <c r="R47">
        <f t="shared" si="16"/>
        <v>1485</v>
      </c>
      <c r="S47">
        <f t="shared" si="17"/>
        <v>1934</v>
      </c>
    </row>
    <row r="48" spans="1:26">
      <c r="B48">
        <f t="shared" si="1"/>
        <v>1759</v>
      </c>
      <c r="C48">
        <f t="shared" si="2"/>
        <v>3329</v>
      </c>
      <c r="F48">
        <f t="shared" si="5"/>
        <v>486</v>
      </c>
      <c r="G48">
        <f t="shared" si="6"/>
        <v>1976</v>
      </c>
      <c r="H48">
        <f t="shared" si="7"/>
        <v>2749</v>
      </c>
      <c r="J48">
        <f t="shared" si="9"/>
        <v>582</v>
      </c>
      <c r="K48">
        <f t="shared" si="10"/>
        <v>267</v>
      </c>
    </row>
    <row r="49" spans="1:26">
      <c r="B49">
        <f t="shared" si="1"/>
        <v>1629</v>
      </c>
      <c r="C49">
        <f t="shared" si="2"/>
        <v>4809</v>
      </c>
      <c r="H49">
        <f t="shared" si="7"/>
        <v>1572</v>
      </c>
      <c r="J49">
        <f t="shared" si="9"/>
        <v>1061</v>
      </c>
      <c r="K49">
        <f t="shared" si="10"/>
        <v>76</v>
      </c>
    </row>
    <row r="50" spans="1:26">
      <c r="B50">
        <f t="shared" si="1"/>
        <v>1343</v>
      </c>
      <c r="C50">
        <f t="shared" si="2"/>
        <v>4438</v>
      </c>
      <c r="H50">
        <f t="shared" si="7"/>
        <v>2324</v>
      </c>
      <c r="J50">
        <f t="shared" si="9"/>
        <v>643</v>
      </c>
      <c r="K50">
        <f t="shared" si="10"/>
        <v>372</v>
      </c>
    </row>
    <row r="51" spans="1:26">
      <c r="C51">
        <f>C14-190</f>
        <v>4606</v>
      </c>
      <c r="K51">
        <f t="shared" si="10"/>
        <v>185</v>
      </c>
    </row>
    <row r="52" spans="1:26">
      <c r="C52">
        <f>C15-190</f>
        <v>4389</v>
      </c>
      <c r="K52">
        <f>K15-363</f>
        <v>177</v>
      </c>
    </row>
    <row r="54" spans="1:26">
      <c r="A54" t="s">
        <v>12</v>
      </c>
      <c r="B54">
        <f>AVERAGE(B39:B52)</f>
        <v>1607.1666666666667</v>
      </c>
      <c r="C54">
        <f t="shared" ref="C54:Z54" si="25">AVERAGE(C39:C52)</f>
        <v>3865.2142857142858</v>
      </c>
      <c r="D54">
        <f t="shared" si="25"/>
        <v>1296.8571428571429</v>
      </c>
      <c r="E54">
        <f t="shared" si="25"/>
        <v>1077.4285714285713</v>
      </c>
      <c r="F54">
        <f t="shared" si="25"/>
        <v>896.4</v>
      </c>
      <c r="G54">
        <f t="shared" si="25"/>
        <v>1391.7</v>
      </c>
      <c r="H54">
        <f t="shared" si="25"/>
        <v>1897.3333333333333</v>
      </c>
      <c r="I54">
        <f t="shared" si="25"/>
        <v>1199</v>
      </c>
      <c r="J54">
        <f t="shared" si="25"/>
        <v>697.08333333333337</v>
      </c>
      <c r="K54">
        <f t="shared" si="25"/>
        <v>212.85714285714286</v>
      </c>
      <c r="L54">
        <f t="shared" si="25"/>
        <v>90.666666666666671</v>
      </c>
      <c r="M54">
        <f t="shared" si="25"/>
        <v>128</v>
      </c>
      <c r="O54">
        <f t="shared" si="25"/>
        <v>1757</v>
      </c>
      <c r="P54">
        <f t="shared" si="25"/>
        <v>3454.25</v>
      </c>
      <c r="Q54">
        <f t="shared" si="25"/>
        <v>1600.6</v>
      </c>
      <c r="R54">
        <f t="shared" si="25"/>
        <v>1866</v>
      </c>
      <c r="S54">
        <f t="shared" si="25"/>
        <v>1843.3333333333333</v>
      </c>
      <c r="T54">
        <f t="shared" si="25"/>
        <v>2302.625</v>
      </c>
      <c r="U54">
        <f t="shared" si="25"/>
        <v>3582.8333333333335</v>
      </c>
      <c r="V54">
        <f t="shared" si="25"/>
        <v>3544.875</v>
      </c>
      <c r="W54">
        <f t="shared" si="25"/>
        <v>4696.25</v>
      </c>
      <c r="X54">
        <f t="shared" si="25"/>
        <v>6007.25</v>
      </c>
      <c r="Y54">
        <f t="shared" si="25"/>
        <v>7797.5</v>
      </c>
      <c r="Z54">
        <f t="shared" si="25"/>
        <v>5508.5</v>
      </c>
    </row>
    <row r="55" spans="1:26">
      <c r="A55" t="s">
        <v>13</v>
      </c>
      <c r="B55">
        <f>STDEV(B39:B52)</f>
        <v>247.43661569759416</v>
      </c>
      <c r="C55">
        <f t="shared" ref="C55:Z55" si="26">STDEV(C39:C52)</f>
        <v>632.71225426989906</v>
      </c>
      <c r="D55">
        <f t="shared" si="26"/>
        <v>212.40717860705507</v>
      </c>
      <c r="E55">
        <f t="shared" si="26"/>
        <v>318.02822576141324</v>
      </c>
      <c r="F55">
        <f t="shared" si="26"/>
        <v>306.14782195679413</v>
      </c>
      <c r="G55">
        <f t="shared" si="26"/>
        <v>322.2862943960784</v>
      </c>
      <c r="H55">
        <f t="shared" si="26"/>
        <v>558.29795455527676</v>
      </c>
      <c r="I55">
        <f t="shared" si="26"/>
        <v>280.76458109953967</v>
      </c>
      <c r="J55">
        <f t="shared" si="26"/>
        <v>288.90623151129961</v>
      </c>
      <c r="K55">
        <f t="shared" si="26"/>
        <v>77.321364489986905</v>
      </c>
      <c r="L55">
        <f t="shared" si="26"/>
        <v>18.22818330681001</v>
      </c>
      <c r="M55">
        <f t="shared" si="26"/>
        <v>94.820883775674645</v>
      </c>
      <c r="O55">
        <f t="shared" si="26"/>
        <v>456.55722532887376</v>
      </c>
      <c r="P55">
        <f t="shared" si="26"/>
        <v>758.57738092902741</v>
      </c>
      <c r="Q55">
        <f t="shared" si="26"/>
        <v>329.45758452340993</v>
      </c>
      <c r="R55">
        <f t="shared" si="26"/>
        <v>264.53166162106191</v>
      </c>
      <c r="S55">
        <f t="shared" si="26"/>
        <v>312.4459953335936</v>
      </c>
      <c r="T55">
        <f t="shared" si="26"/>
        <v>416.3603993451552</v>
      </c>
      <c r="U55">
        <f t="shared" si="26"/>
        <v>414.81292972455145</v>
      </c>
      <c r="V55">
        <f t="shared" si="26"/>
        <v>483.09668878422849</v>
      </c>
      <c r="W55">
        <f t="shared" si="26"/>
        <v>2007.3028960938273</v>
      </c>
      <c r="X55">
        <f t="shared" si="26"/>
        <v>2016.025524805345</v>
      </c>
      <c r="Y55">
        <f t="shared" si="26"/>
        <v>91.216774773064628</v>
      </c>
      <c r="Z55">
        <f t="shared" si="26"/>
        <v>31.81980515339464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5"/>
  <sheetViews>
    <sheetView zoomScale="75" zoomScaleNormal="75" zoomScalePageLayoutView="75" workbookViewId="0">
      <selection activeCell="O38" sqref="O38:AZ38"/>
    </sheetView>
  </sheetViews>
  <sheetFormatPr baseColWidth="10" defaultRowHeight="15" x14ac:dyDescent="0"/>
  <cols>
    <col min="1" max="1" width="31.83203125" customWidth="1"/>
  </cols>
  <sheetData>
    <row r="1" spans="1:52">
      <c r="A1" t="s">
        <v>22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</row>
    <row r="2" spans="1:52">
      <c r="B2">
        <v>2783</v>
      </c>
      <c r="C2">
        <v>7594</v>
      </c>
      <c r="D2">
        <v>1410</v>
      </c>
      <c r="E2">
        <v>1741</v>
      </c>
      <c r="F2">
        <v>2883</v>
      </c>
      <c r="G2">
        <v>4022</v>
      </c>
      <c r="H2">
        <v>5063</v>
      </c>
      <c r="I2">
        <v>7595</v>
      </c>
      <c r="J2">
        <v>3597</v>
      </c>
      <c r="K2">
        <v>2311</v>
      </c>
      <c r="L2">
        <v>1056</v>
      </c>
      <c r="M2">
        <v>904</v>
      </c>
      <c r="O2">
        <v>2357</v>
      </c>
      <c r="P2">
        <v>5935</v>
      </c>
      <c r="Q2">
        <v>1060</v>
      </c>
      <c r="R2">
        <v>1908</v>
      </c>
      <c r="S2">
        <v>1685</v>
      </c>
      <c r="T2">
        <v>2867</v>
      </c>
      <c r="U2">
        <v>3344</v>
      </c>
      <c r="V2">
        <v>3510</v>
      </c>
      <c r="W2">
        <v>3203</v>
      </c>
      <c r="X2">
        <v>2548</v>
      </c>
      <c r="Y2">
        <v>2589</v>
      </c>
      <c r="Z2">
        <v>1050</v>
      </c>
      <c r="AB2">
        <v>1852</v>
      </c>
      <c r="AC2">
        <v>2259</v>
      </c>
      <c r="AD2">
        <v>1265</v>
      </c>
      <c r="AE2">
        <v>1753</v>
      </c>
      <c r="AF2">
        <v>1883</v>
      </c>
      <c r="AG2">
        <v>2857</v>
      </c>
      <c r="AH2">
        <v>5353</v>
      </c>
      <c r="AI2">
        <v>7196</v>
      </c>
      <c r="AJ2">
        <v>8835</v>
      </c>
      <c r="AK2">
        <v>8267</v>
      </c>
      <c r="AL2">
        <v>5714</v>
      </c>
      <c r="AM2">
        <v>9587</v>
      </c>
      <c r="AO2">
        <v>2085</v>
      </c>
      <c r="AP2">
        <v>2957</v>
      </c>
      <c r="AQ2">
        <v>1531</v>
      </c>
      <c r="AR2">
        <v>1690</v>
      </c>
      <c r="AS2">
        <v>2705</v>
      </c>
      <c r="AT2">
        <v>4440</v>
      </c>
      <c r="AU2">
        <v>4024</v>
      </c>
      <c r="AV2">
        <v>6926</v>
      </c>
      <c r="AW2">
        <v>3556</v>
      </c>
      <c r="AX2">
        <v>4867</v>
      </c>
      <c r="AY2">
        <v>4096</v>
      </c>
      <c r="AZ2">
        <v>2651</v>
      </c>
    </row>
    <row r="3" spans="1:52">
      <c r="B3">
        <v>2957</v>
      </c>
      <c r="C3">
        <v>8386</v>
      </c>
      <c r="D3">
        <v>1299</v>
      </c>
      <c r="E3">
        <v>2052</v>
      </c>
      <c r="F3">
        <v>2453</v>
      </c>
      <c r="G3">
        <v>3833</v>
      </c>
      <c r="H3">
        <v>5595</v>
      </c>
      <c r="I3">
        <v>4142</v>
      </c>
      <c r="J3">
        <v>3859</v>
      </c>
      <c r="K3">
        <v>1740</v>
      </c>
      <c r="L3">
        <v>1115</v>
      </c>
      <c r="M3">
        <v>1188</v>
      </c>
      <c r="O3">
        <v>2084</v>
      </c>
      <c r="P3">
        <v>4454</v>
      </c>
      <c r="Q3">
        <v>1222</v>
      </c>
      <c r="R3">
        <v>1692</v>
      </c>
      <c r="S3">
        <v>1608</v>
      </c>
      <c r="T3">
        <v>2532</v>
      </c>
      <c r="U3">
        <v>2832</v>
      </c>
      <c r="V3">
        <v>5837</v>
      </c>
      <c r="W3">
        <v>4439</v>
      </c>
      <c r="X3">
        <v>3074</v>
      </c>
      <c r="Y3">
        <v>2618</v>
      </c>
      <c r="Z3">
        <v>1053</v>
      </c>
      <c r="AB3">
        <v>1606</v>
      </c>
      <c r="AC3">
        <v>3036</v>
      </c>
      <c r="AD3">
        <v>1130</v>
      </c>
      <c r="AE3">
        <v>2529</v>
      </c>
      <c r="AF3">
        <v>2687</v>
      </c>
      <c r="AG3">
        <v>2904</v>
      </c>
      <c r="AH3">
        <v>5210</v>
      </c>
      <c r="AI3">
        <v>7189</v>
      </c>
      <c r="AJ3">
        <v>6020</v>
      </c>
      <c r="AK3">
        <v>11507</v>
      </c>
      <c r="AL3">
        <v>5740</v>
      </c>
      <c r="AM3">
        <v>6306</v>
      </c>
      <c r="AO3">
        <v>2397</v>
      </c>
      <c r="AP3">
        <v>2809</v>
      </c>
      <c r="AQ3">
        <v>1467</v>
      </c>
      <c r="AR3">
        <v>1145</v>
      </c>
      <c r="AS3">
        <v>2764</v>
      </c>
      <c r="AT3">
        <v>2863</v>
      </c>
      <c r="AU3">
        <v>5864</v>
      </c>
      <c r="AV3">
        <v>5754</v>
      </c>
      <c r="AW3">
        <v>3956</v>
      </c>
      <c r="AX3">
        <v>3935</v>
      </c>
      <c r="AY3">
        <v>2115</v>
      </c>
      <c r="AZ3">
        <v>2520</v>
      </c>
    </row>
    <row r="4" spans="1:52">
      <c r="B4">
        <v>2233</v>
      </c>
      <c r="C4">
        <v>6548</v>
      </c>
      <c r="D4">
        <v>1938</v>
      </c>
      <c r="E4">
        <v>1419</v>
      </c>
      <c r="F4">
        <v>1452</v>
      </c>
      <c r="G4">
        <v>3544</v>
      </c>
      <c r="H4">
        <v>5203</v>
      </c>
      <c r="I4">
        <v>6638</v>
      </c>
      <c r="J4">
        <v>4195</v>
      </c>
      <c r="K4">
        <v>1886</v>
      </c>
      <c r="L4">
        <v>1133</v>
      </c>
      <c r="M4">
        <v>1527</v>
      </c>
      <c r="O4">
        <v>1693</v>
      </c>
      <c r="P4">
        <v>4701</v>
      </c>
      <c r="Q4">
        <v>975</v>
      </c>
      <c r="R4">
        <v>1635</v>
      </c>
      <c r="S4">
        <v>1401</v>
      </c>
      <c r="T4">
        <v>3094</v>
      </c>
      <c r="U4">
        <v>2570</v>
      </c>
      <c r="V4">
        <v>5409</v>
      </c>
      <c r="W4">
        <v>4577</v>
      </c>
      <c r="X4">
        <v>1529</v>
      </c>
      <c r="Y4">
        <v>2180</v>
      </c>
      <c r="Z4">
        <v>1110</v>
      </c>
      <c r="AC4">
        <v>4034</v>
      </c>
      <c r="AD4">
        <v>1403</v>
      </c>
      <c r="AE4">
        <v>1763</v>
      </c>
      <c r="AF4">
        <v>3478</v>
      </c>
      <c r="AG4">
        <v>3767</v>
      </c>
      <c r="AH4">
        <v>3881</v>
      </c>
      <c r="AI4">
        <v>9473</v>
      </c>
      <c r="AJ4">
        <v>8010</v>
      </c>
      <c r="AK4">
        <v>9046</v>
      </c>
      <c r="AL4">
        <v>7070</v>
      </c>
      <c r="AO4">
        <v>2085</v>
      </c>
      <c r="AP4">
        <v>2990</v>
      </c>
      <c r="AQ4">
        <v>1285</v>
      </c>
      <c r="AR4">
        <v>2095</v>
      </c>
      <c r="AS4">
        <v>2567</v>
      </c>
      <c r="AT4">
        <v>2909</v>
      </c>
      <c r="AU4">
        <v>5400</v>
      </c>
      <c r="AV4">
        <v>6021</v>
      </c>
      <c r="AW4">
        <v>4478</v>
      </c>
      <c r="AX4">
        <v>5191</v>
      </c>
      <c r="AY4">
        <v>4094</v>
      </c>
      <c r="AZ4">
        <v>2754</v>
      </c>
    </row>
    <row r="5" spans="1:52">
      <c r="B5">
        <v>2785</v>
      </c>
      <c r="C5">
        <v>3824</v>
      </c>
      <c r="D5">
        <v>1428</v>
      </c>
      <c r="E5">
        <v>1749</v>
      </c>
      <c r="F5">
        <v>2440</v>
      </c>
      <c r="G5">
        <v>4417</v>
      </c>
      <c r="H5">
        <v>4512</v>
      </c>
      <c r="I5">
        <v>7867</v>
      </c>
      <c r="J5">
        <v>3624</v>
      </c>
      <c r="K5">
        <v>2199</v>
      </c>
      <c r="L5">
        <v>1314</v>
      </c>
      <c r="M5">
        <v>944</v>
      </c>
      <c r="O5">
        <v>1964</v>
      </c>
      <c r="P5">
        <v>3533</v>
      </c>
      <c r="Q5">
        <v>900</v>
      </c>
      <c r="R5">
        <v>1129</v>
      </c>
      <c r="S5">
        <v>2130</v>
      </c>
      <c r="T5">
        <v>1621</v>
      </c>
      <c r="U5">
        <v>3840</v>
      </c>
      <c r="V5">
        <v>2289</v>
      </c>
      <c r="W5">
        <v>2099</v>
      </c>
      <c r="X5">
        <v>1221</v>
      </c>
      <c r="Y5">
        <v>1805</v>
      </c>
      <c r="Z5">
        <v>1841</v>
      </c>
      <c r="AC5">
        <v>3950</v>
      </c>
      <c r="AG5">
        <v>3939</v>
      </c>
      <c r="AH5">
        <v>4362</v>
      </c>
      <c r="AI5">
        <v>9951</v>
      </c>
      <c r="AJ5">
        <v>6364</v>
      </c>
      <c r="AP5">
        <v>4833</v>
      </c>
      <c r="AR5">
        <v>1002</v>
      </c>
      <c r="AV5">
        <v>6080</v>
      </c>
      <c r="AW5">
        <v>5946</v>
      </c>
      <c r="AX5">
        <v>4029</v>
      </c>
      <c r="AY5">
        <v>3188</v>
      </c>
    </row>
    <row r="6" spans="1:52">
      <c r="B6">
        <v>2361</v>
      </c>
      <c r="C6">
        <v>5532</v>
      </c>
      <c r="D6">
        <v>1054</v>
      </c>
      <c r="E6">
        <v>1757</v>
      </c>
      <c r="F6">
        <v>1765</v>
      </c>
      <c r="G6">
        <v>3626</v>
      </c>
      <c r="H6">
        <v>6000</v>
      </c>
      <c r="I6">
        <v>4884</v>
      </c>
      <c r="J6">
        <v>4808</v>
      </c>
      <c r="K6">
        <v>2275</v>
      </c>
      <c r="L6">
        <v>1269</v>
      </c>
      <c r="M6">
        <v>962</v>
      </c>
      <c r="P6">
        <v>4793</v>
      </c>
      <c r="S6">
        <v>1557</v>
      </c>
      <c r="T6">
        <v>1602</v>
      </c>
      <c r="U6">
        <v>4366</v>
      </c>
      <c r="V6">
        <v>2810</v>
      </c>
      <c r="W6">
        <v>3047</v>
      </c>
      <c r="X6">
        <v>937</v>
      </c>
      <c r="Y6">
        <v>904</v>
      </c>
      <c r="Z6">
        <v>2095</v>
      </c>
      <c r="AG6">
        <v>2378</v>
      </c>
      <c r="AH6">
        <v>4038</v>
      </c>
      <c r="AI6">
        <v>6194</v>
      </c>
      <c r="AP6">
        <v>4431</v>
      </c>
      <c r="AV6">
        <v>4711</v>
      </c>
      <c r="AW6">
        <v>3984</v>
      </c>
    </row>
    <row r="7" spans="1:52">
      <c r="B7">
        <v>2342</v>
      </c>
      <c r="C7">
        <v>5910</v>
      </c>
      <c r="D7">
        <v>1320</v>
      </c>
      <c r="E7">
        <v>1621</v>
      </c>
      <c r="F7">
        <v>1225</v>
      </c>
      <c r="G7">
        <v>4268</v>
      </c>
      <c r="H7">
        <v>4486</v>
      </c>
      <c r="I7">
        <v>7652</v>
      </c>
      <c r="J7">
        <v>3546</v>
      </c>
      <c r="K7">
        <v>2886</v>
      </c>
      <c r="L7">
        <v>1212</v>
      </c>
      <c r="P7">
        <v>2946</v>
      </c>
      <c r="S7">
        <v>1933</v>
      </c>
      <c r="T7">
        <v>1712</v>
      </c>
      <c r="U7">
        <v>2407</v>
      </c>
      <c r="Y7">
        <v>1841</v>
      </c>
      <c r="AV7">
        <v>6340</v>
      </c>
      <c r="AW7">
        <v>5289</v>
      </c>
    </row>
    <row r="8" spans="1:52">
      <c r="D8">
        <v>1578</v>
      </c>
      <c r="E8">
        <v>1856</v>
      </c>
      <c r="F8">
        <v>2136</v>
      </c>
      <c r="G8">
        <v>3498</v>
      </c>
      <c r="I8">
        <v>5859</v>
      </c>
      <c r="J8">
        <v>4819</v>
      </c>
      <c r="K8">
        <v>2962</v>
      </c>
      <c r="L8">
        <v>1388</v>
      </c>
      <c r="U8">
        <v>2545</v>
      </c>
      <c r="Y8">
        <v>1365</v>
      </c>
      <c r="AW8">
        <v>5759</v>
      </c>
    </row>
    <row r="9" spans="1:52">
      <c r="D9">
        <v>1393</v>
      </c>
      <c r="E9">
        <v>1432</v>
      </c>
      <c r="F9">
        <v>2376</v>
      </c>
      <c r="G9">
        <v>4010</v>
      </c>
      <c r="I9">
        <v>5510</v>
      </c>
      <c r="J9">
        <v>3340</v>
      </c>
      <c r="K9">
        <v>2885</v>
      </c>
      <c r="U9">
        <v>2457</v>
      </c>
      <c r="Y9">
        <v>2184</v>
      </c>
    </row>
    <row r="10" spans="1:52">
      <c r="F10">
        <v>1170</v>
      </c>
      <c r="G10">
        <v>3475</v>
      </c>
      <c r="I10">
        <v>5836</v>
      </c>
      <c r="J10">
        <v>3997</v>
      </c>
      <c r="K10">
        <v>1935</v>
      </c>
      <c r="U10">
        <v>2264</v>
      </c>
    </row>
    <row r="11" spans="1:52">
      <c r="G11">
        <v>3345</v>
      </c>
      <c r="I11">
        <v>6973</v>
      </c>
      <c r="J11">
        <v>3772</v>
      </c>
      <c r="K11">
        <v>1943</v>
      </c>
    </row>
    <row r="12" spans="1:52">
      <c r="G12">
        <v>3206</v>
      </c>
      <c r="I12">
        <v>5130</v>
      </c>
      <c r="J12">
        <v>2836</v>
      </c>
      <c r="K12">
        <v>1968</v>
      </c>
    </row>
    <row r="13" spans="1:52">
      <c r="G13">
        <v>2691</v>
      </c>
      <c r="I13">
        <v>5839</v>
      </c>
      <c r="J13">
        <v>3064</v>
      </c>
    </row>
    <row r="14" spans="1:52">
      <c r="G14">
        <v>3583</v>
      </c>
      <c r="I14">
        <v>6495</v>
      </c>
      <c r="J14">
        <v>3474</v>
      </c>
    </row>
    <row r="15" spans="1:52">
      <c r="G15">
        <v>3786</v>
      </c>
      <c r="I15">
        <v>5790</v>
      </c>
      <c r="J15">
        <v>3353</v>
      </c>
    </row>
    <row r="21" spans="1:52">
      <c r="A21" t="s">
        <v>23</v>
      </c>
      <c r="B21">
        <v>219</v>
      </c>
      <c r="C21">
        <v>240</v>
      </c>
      <c r="D21">
        <v>286</v>
      </c>
      <c r="E21">
        <v>239</v>
      </c>
      <c r="F21">
        <v>405</v>
      </c>
      <c r="G21">
        <v>578</v>
      </c>
      <c r="H21">
        <v>1511</v>
      </c>
      <c r="I21">
        <v>1171</v>
      </c>
      <c r="J21">
        <v>1584</v>
      </c>
      <c r="K21">
        <v>1142</v>
      </c>
      <c r="L21">
        <v>1083</v>
      </c>
      <c r="M21">
        <v>357</v>
      </c>
      <c r="O21">
        <v>140</v>
      </c>
      <c r="P21">
        <v>128</v>
      </c>
      <c r="Q21">
        <v>155</v>
      </c>
      <c r="R21">
        <v>335</v>
      </c>
      <c r="S21">
        <v>667</v>
      </c>
      <c r="T21">
        <v>967</v>
      </c>
      <c r="U21">
        <v>1269</v>
      </c>
      <c r="V21">
        <v>1972</v>
      </c>
      <c r="W21">
        <v>1621</v>
      </c>
      <c r="X21">
        <v>1382</v>
      </c>
      <c r="Y21">
        <v>1496</v>
      </c>
      <c r="Z21">
        <v>636</v>
      </c>
      <c r="AB21">
        <v>137</v>
      </c>
      <c r="AC21">
        <v>189</v>
      </c>
      <c r="AD21">
        <v>222</v>
      </c>
      <c r="AE21">
        <v>284</v>
      </c>
      <c r="AF21">
        <v>511</v>
      </c>
      <c r="AG21">
        <v>1027</v>
      </c>
      <c r="AH21">
        <v>1423</v>
      </c>
      <c r="AI21">
        <v>1346</v>
      </c>
      <c r="AJ21">
        <v>2238</v>
      </c>
      <c r="AK21">
        <v>1791</v>
      </c>
      <c r="AL21">
        <v>2288</v>
      </c>
      <c r="AM21">
        <v>1074</v>
      </c>
      <c r="AO21">
        <v>105</v>
      </c>
      <c r="AP21">
        <v>111</v>
      </c>
      <c r="AQ21">
        <v>124</v>
      </c>
      <c r="AR21">
        <v>185</v>
      </c>
      <c r="AS21">
        <v>498</v>
      </c>
      <c r="AT21">
        <v>522</v>
      </c>
      <c r="AU21">
        <v>682</v>
      </c>
      <c r="AV21">
        <v>1328</v>
      </c>
      <c r="AW21">
        <v>1227</v>
      </c>
      <c r="AX21">
        <v>892</v>
      </c>
      <c r="AY21">
        <v>1072</v>
      </c>
      <c r="AZ21">
        <v>979</v>
      </c>
    </row>
    <row r="22" spans="1:52">
      <c r="B22">
        <v>202</v>
      </c>
      <c r="C22">
        <v>271</v>
      </c>
      <c r="D22">
        <v>279</v>
      </c>
      <c r="E22">
        <v>271</v>
      </c>
      <c r="F22">
        <v>542</v>
      </c>
      <c r="G22">
        <v>795</v>
      </c>
      <c r="H22">
        <v>815</v>
      </c>
      <c r="I22">
        <v>1874</v>
      </c>
      <c r="J22">
        <v>1920</v>
      </c>
      <c r="K22">
        <v>1445</v>
      </c>
      <c r="L22">
        <v>1558</v>
      </c>
      <c r="M22">
        <v>403</v>
      </c>
      <c r="O22">
        <v>140</v>
      </c>
      <c r="P22">
        <v>146</v>
      </c>
      <c r="Q22">
        <v>296</v>
      </c>
      <c r="R22">
        <v>484</v>
      </c>
      <c r="S22">
        <v>447</v>
      </c>
      <c r="T22">
        <v>598</v>
      </c>
      <c r="U22">
        <v>1367</v>
      </c>
      <c r="V22">
        <v>1003</v>
      </c>
      <c r="W22">
        <v>1800</v>
      </c>
      <c r="X22">
        <v>1289</v>
      </c>
      <c r="Y22">
        <v>1089</v>
      </c>
      <c r="Z22">
        <v>617</v>
      </c>
      <c r="AB22">
        <v>131</v>
      </c>
      <c r="AC22">
        <v>139</v>
      </c>
      <c r="AD22">
        <v>135</v>
      </c>
      <c r="AE22">
        <v>176</v>
      </c>
      <c r="AF22">
        <v>355</v>
      </c>
      <c r="AG22">
        <v>814</v>
      </c>
      <c r="AH22">
        <v>1439</v>
      </c>
      <c r="AI22">
        <v>1481</v>
      </c>
      <c r="AJ22">
        <v>2123</v>
      </c>
      <c r="AK22">
        <v>1276</v>
      </c>
      <c r="AL22">
        <v>1310</v>
      </c>
      <c r="AM22">
        <v>642</v>
      </c>
      <c r="AO22">
        <v>131</v>
      </c>
      <c r="AP22">
        <v>129</v>
      </c>
      <c r="AQ22">
        <v>176</v>
      </c>
      <c r="AR22">
        <v>332</v>
      </c>
      <c r="AS22">
        <v>417</v>
      </c>
      <c r="AT22">
        <v>613</v>
      </c>
      <c r="AU22">
        <v>730</v>
      </c>
      <c r="AV22">
        <v>922</v>
      </c>
      <c r="AW22">
        <v>1560</v>
      </c>
      <c r="AX22">
        <v>1454</v>
      </c>
      <c r="AY22">
        <v>601</v>
      </c>
      <c r="AZ22">
        <v>1259</v>
      </c>
    </row>
    <row r="23" spans="1:52">
      <c r="B23">
        <v>224</v>
      </c>
      <c r="C23">
        <v>209</v>
      </c>
      <c r="D23">
        <v>232</v>
      </c>
      <c r="E23">
        <v>266</v>
      </c>
      <c r="F23">
        <v>476</v>
      </c>
      <c r="G23">
        <v>1205</v>
      </c>
      <c r="H23">
        <v>639</v>
      </c>
      <c r="I23">
        <v>1304</v>
      </c>
      <c r="J23">
        <v>1889</v>
      </c>
      <c r="K23">
        <v>1376</v>
      </c>
      <c r="L23">
        <v>1389</v>
      </c>
      <c r="M23">
        <v>740</v>
      </c>
      <c r="O23">
        <v>138</v>
      </c>
      <c r="P23">
        <v>164</v>
      </c>
      <c r="Q23">
        <v>153</v>
      </c>
      <c r="R23">
        <v>307</v>
      </c>
      <c r="S23">
        <v>534</v>
      </c>
      <c r="T23">
        <v>1063</v>
      </c>
      <c r="U23">
        <v>925</v>
      </c>
      <c r="V23">
        <v>1603</v>
      </c>
      <c r="W23">
        <v>1720</v>
      </c>
      <c r="X23">
        <v>1380</v>
      </c>
      <c r="Y23">
        <v>1601</v>
      </c>
      <c r="Z23">
        <v>696</v>
      </c>
      <c r="AB23">
        <v>166</v>
      </c>
      <c r="AC23">
        <v>191</v>
      </c>
      <c r="AD23">
        <v>197</v>
      </c>
      <c r="AE23">
        <v>211</v>
      </c>
      <c r="AF23">
        <v>513</v>
      </c>
      <c r="AG23">
        <v>809</v>
      </c>
      <c r="AH23">
        <v>1153</v>
      </c>
      <c r="AI23">
        <v>1549</v>
      </c>
      <c r="AJ23">
        <v>1600</v>
      </c>
      <c r="AK23">
        <v>1750</v>
      </c>
      <c r="AL23">
        <v>1995</v>
      </c>
      <c r="AM23">
        <v>1151</v>
      </c>
      <c r="AO23">
        <v>139</v>
      </c>
      <c r="AP23">
        <v>129</v>
      </c>
      <c r="AQ23">
        <v>153</v>
      </c>
      <c r="AR23">
        <v>236</v>
      </c>
      <c r="AS23">
        <v>538</v>
      </c>
      <c r="AT23">
        <v>736</v>
      </c>
      <c r="AU23">
        <v>677</v>
      </c>
      <c r="AV23">
        <v>1781</v>
      </c>
      <c r="AW23">
        <v>1919</v>
      </c>
      <c r="AX23">
        <v>1432</v>
      </c>
      <c r="AY23">
        <v>1519</v>
      </c>
      <c r="AZ23">
        <v>985</v>
      </c>
    </row>
    <row r="24" spans="1:52">
      <c r="F24">
        <v>365</v>
      </c>
      <c r="G24">
        <v>872</v>
      </c>
      <c r="H24">
        <v>552</v>
      </c>
      <c r="I24">
        <v>1254</v>
      </c>
      <c r="J24">
        <v>1673</v>
      </c>
      <c r="K24">
        <v>1019</v>
      </c>
      <c r="L24">
        <v>1209</v>
      </c>
      <c r="M24">
        <v>814</v>
      </c>
      <c r="S24">
        <v>554</v>
      </c>
      <c r="T24">
        <v>588</v>
      </c>
      <c r="U24">
        <v>1204</v>
      </c>
      <c r="V24">
        <v>870</v>
      </c>
      <c r="W24">
        <v>1876</v>
      </c>
      <c r="X24">
        <v>1579</v>
      </c>
      <c r="Y24">
        <v>1440</v>
      </c>
      <c r="AJ24">
        <v>2045</v>
      </c>
      <c r="AK24">
        <v>2552</v>
      </c>
      <c r="AU24">
        <v>801</v>
      </c>
      <c r="AX24">
        <v>1712</v>
      </c>
    </row>
    <row r="25" spans="1:52">
      <c r="F25">
        <v>529</v>
      </c>
      <c r="G25">
        <v>1046</v>
      </c>
      <c r="H25">
        <v>1706</v>
      </c>
      <c r="I25">
        <v>1446</v>
      </c>
      <c r="J25">
        <v>1457</v>
      </c>
      <c r="K25">
        <v>1225</v>
      </c>
      <c r="L25">
        <v>1086</v>
      </c>
      <c r="W25">
        <v>1750</v>
      </c>
      <c r="X25">
        <v>1513</v>
      </c>
      <c r="AJ25">
        <v>1665</v>
      </c>
    </row>
    <row r="26" spans="1:52">
      <c r="G26">
        <v>816</v>
      </c>
      <c r="H26">
        <v>1039</v>
      </c>
      <c r="I26">
        <v>1200</v>
      </c>
      <c r="J26">
        <v>1329</v>
      </c>
      <c r="K26">
        <v>1464</v>
      </c>
      <c r="L26">
        <v>1173</v>
      </c>
      <c r="X26">
        <v>1859</v>
      </c>
    </row>
    <row r="27" spans="1:52">
      <c r="G27">
        <v>1174</v>
      </c>
      <c r="I27">
        <v>1262</v>
      </c>
      <c r="J27">
        <v>1703</v>
      </c>
      <c r="K27">
        <v>1604</v>
      </c>
      <c r="X27">
        <v>926</v>
      </c>
    </row>
    <row r="28" spans="1:52">
      <c r="G28">
        <v>1390</v>
      </c>
      <c r="J28">
        <v>1454</v>
      </c>
      <c r="K28">
        <v>1363</v>
      </c>
    </row>
    <row r="29" spans="1:52">
      <c r="G29">
        <v>565</v>
      </c>
      <c r="J29">
        <v>1750</v>
      </c>
      <c r="K29">
        <v>1091</v>
      </c>
    </row>
    <row r="30" spans="1:52">
      <c r="G30">
        <v>549</v>
      </c>
      <c r="J30">
        <v>1795</v>
      </c>
      <c r="K30">
        <v>1823</v>
      </c>
    </row>
    <row r="31" spans="1:52">
      <c r="K31">
        <v>1189</v>
      </c>
    </row>
    <row r="32" spans="1:52">
      <c r="K32">
        <v>1791</v>
      </c>
    </row>
    <row r="33" spans="1:52">
      <c r="K33">
        <v>1175</v>
      </c>
    </row>
    <row r="35" spans="1:52" s="5" customFormat="1">
      <c r="A35" s="5" t="s">
        <v>110</v>
      </c>
      <c r="B35" s="5">
        <f>AVERAGE(B21:B33)</f>
        <v>215</v>
      </c>
      <c r="C35" s="5">
        <f t="shared" ref="C35:AM35" si="0">AVERAGE(C21:C33)</f>
        <v>240</v>
      </c>
      <c r="D35" s="5">
        <f t="shared" si="0"/>
        <v>265.66666666666669</v>
      </c>
      <c r="E35" s="5">
        <f t="shared" si="0"/>
        <v>258.66666666666669</v>
      </c>
      <c r="F35" s="5">
        <f t="shared" si="0"/>
        <v>463.4</v>
      </c>
      <c r="G35" s="5">
        <f t="shared" si="0"/>
        <v>899</v>
      </c>
      <c r="H35" s="5">
        <f t="shared" si="0"/>
        <v>1043.6666666666667</v>
      </c>
      <c r="I35" s="5">
        <f t="shared" si="0"/>
        <v>1358.7142857142858</v>
      </c>
      <c r="J35" s="5">
        <f t="shared" si="0"/>
        <v>1655.4</v>
      </c>
      <c r="K35" s="5">
        <f t="shared" si="0"/>
        <v>1362.0769230769231</v>
      </c>
      <c r="L35" s="5">
        <f t="shared" si="0"/>
        <v>1249.6666666666667</v>
      </c>
      <c r="M35" s="5">
        <f t="shared" si="0"/>
        <v>578.5</v>
      </c>
      <c r="O35" s="5">
        <f t="shared" si="0"/>
        <v>139.33333333333334</v>
      </c>
      <c r="P35" s="5">
        <f t="shared" si="0"/>
        <v>146</v>
      </c>
      <c r="Q35" s="5">
        <f t="shared" si="0"/>
        <v>201.33333333333334</v>
      </c>
      <c r="R35" s="5">
        <f t="shared" si="0"/>
        <v>375.33333333333331</v>
      </c>
      <c r="S35" s="5">
        <f t="shared" si="0"/>
        <v>550.5</v>
      </c>
      <c r="T35" s="5">
        <f t="shared" si="0"/>
        <v>804</v>
      </c>
      <c r="U35" s="5">
        <f t="shared" si="0"/>
        <v>1191.25</v>
      </c>
      <c r="V35" s="5">
        <f t="shared" si="0"/>
        <v>1362</v>
      </c>
      <c r="W35" s="5">
        <f t="shared" si="0"/>
        <v>1753.4</v>
      </c>
      <c r="X35" s="5">
        <f t="shared" si="0"/>
        <v>1418.2857142857142</v>
      </c>
      <c r="Y35" s="5">
        <f t="shared" si="0"/>
        <v>1406.5</v>
      </c>
      <c r="Z35" s="5">
        <f t="shared" si="0"/>
        <v>649.66666666666663</v>
      </c>
      <c r="AB35" s="5">
        <f t="shared" si="0"/>
        <v>144.66666666666666</v>
      </c>
      <c r="AC35" s="5">
        <f t="shared" si="0"/>
        <v>173</v>
      </c>
      <c r="AD35" s="5">
        <f t="shared" si="0"/>
        <v>184.66666666666666</v>
      </c>
      <c r="AE35" s="5">
        <f t="shared" si="0"/>
        <v>223.66666666666666</v>
      </c>
      <c r="AF35" s="5">
        <f t="shared" si="0"/>
        <v>459.66666666666669</v>
      </c>
      <c r="AG35" s="5">
        <f t="shared" si="0"/>
        <v>883.33333333333337</v>
      </c>
      <c r="AH35" s="5">
        <f t="shared" si="0"/>
        <v>1338.3333333333333</v>
      </c>
      <c r="AI35" s="5">
        <f t="shared" si="0"/>
        <v>1458.6666666666667</v>
      </c>
      <c r="AJ35" s="5">
        <f t="shared" si="0"/>
        <v>1934.2</v>
      </c>
      <c r="AK35" s="5">
        <f t="shared" si="0"/>
        <v>1842.25</v>
      </c>
      <c r="AL35" s="5">
        <f t="shared" si="0"/>
        <v>1864.3333333333333</v>
      </c>
      <c r="AM35" s="5">
        <f t="shared" si="0"/>
        <v>955.66666666666663</v>
      </c>
      <c r="AO35" s="5">
        <f t="shared" ref="AO35:AZ35" si="1">AVERAGE(AO21:AO33)</f>
        <v>125</v>
      </c>
      <c r="AP35" s="5">
        <f t="shared" si="1"/>
        <v>123</v>
      </c>
      <c r="AQ35" s="5">
        <f t="shared" si="1"/>
        <v>151</v>
      </c>
      <c r="AR35" s="5">
        <f t="shared" si="1"/>
        <v>251</v>
      </c>
      <c r="AS35" s="5">
        <f t="shared" si="1"/>
        <v>484.33333333333331</v>
      </c>
      <c r="AT35" s="5">
        <f t="shared" si="1"/>
        <v>623.66666666666663</v>
      </c>
      <c r="AU35" s="5">
        <f t="shared" si="1"/>
        <v>722.5</v>
      </c>
      <c r="AV35" s="5">
        <f t="shared" si="1"/>
        <v>1343.6666666666667</v>
      </c>
      <c r="AW35" s="5">
        <f t="shared" si="1"/>
        <v>1568.6666666666667</v>
      </c>
      <c r="AX35" s="5">
        <f t="shared" si="1"/>
        <v>1372.5</v>
      </c>
      <c r="AY35" s="5">
        <f t="shared" si="1"/>
        <v>1064</v>
      </c>
      <c r="AZ35" s="5">
        <f t="shared" si="1"/>
        <v>1074.3333333333333</v>
      </c>
    </row>
    <row r="38" spans="1:52">
      <c r="A38" t="s">
        <v>123</v>
      </c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O38" t="s">
        <v>24</v>
      </c>
      <c r="P38" t="s">
        <v>25</v>
      </c>
      <c r="Q38" t="s">
        <v>26</v>
      </c>
      <c r="R38" t="s">
        <v>27</v>
      </c>
      <c r="S38" t="s">
        <v>28</v>
      </c>
      <c r="T38" t="s">
        <v>29</v>
      </c>
      <c r="U38" t="s">
        <v>30</v>
      </c>
      <c r="V38" t="s">
        <v>31</v>
      </c>
      <c r="W38" t="s">
        <v>32</v>
      </c>
      <c r="X38" t="s">
        <v>33</v>
      </c>
      <c r="Y38" t="s">
        <v>34</v>
      </c>
      <c r="Z38" t="s">
        <v>35</v>
      </c>
      <c r="AB38" t="s">
        <v>48</v>
      </c>
      <c r="AC38" t="s">
        <v>49</v>
      </c>
      <c r="AD38" t="s">
        <v>50</v>
      </c>
      <c r="AE38" t="s">
        <v>51</v>
      </c>
      <c r="AF38" t="s">
        <v>52</v>
      </c>
      <c r="AG38" t="s">
        <v>53</v>
      </c>
      <c r="AH38" t="s">
        <v>54</v>
      </c>
      <c r="AI38" t="s">
        <v>55</v>
      </c>
      <c r="AJ38" t="s">
        <v>56</v>
      </c>
      <c r="AK38" t="s">
        <v>57</v>
      </c>
      <c r="AL38" t="s">
        <v>58</v>
      </c>
      <c r="AM38" t="s">
        <v>59</v>
      </c>
      <c r="AO38" t="s">
        <v>36</v>
      </c>
      <c r="AP38" t="s">
        <v>37</v>
      </c>
      <c r="AQ38" t="s">
        <v>38</v>
      </c>
      <c r="AR38" t="s">
        <v>39</v>
      </c>
      <c r="AS38" t="s">
        <v>40</v>
      </c>
      <c r="AT38" t="s">
        <v>41</v>
      </c>
      <c r="AU38" t="s">
        <v>42</v>
      </c>
      <c r="AV38" t="s">
        <v>43</v>
      </c>
      <c r="AW38" t="s">
        <v>44</v>
      </c>
      <c r="AX38" t="s">
        <v>45</v>
      </c>
      <c r="AY38" t="s">
        <v>46</v>
      </c>
      <c r="AZ38" t="s">
        <v>47</v>
      </c>
    </row>
    <row r="39" spans="1:52">
      <c r="B39">
        <f>B2-215</f>
        <v>2568</v>
      </c>
      <c r="C39">
        <f>C2-240</f>
        <v>7354</v>
      </c>
      <c r="D39">
        <f>D2-266</f>
        <v>1144</v>
      </c>
      <c r="E39">
        <f>E2-259</f>
        <v>1482</v>
      </c>
      <c r="F39">
        <f>F2-463</f>
        <v>2420</v>
      </c>
      <c r="G39">
        <f>G2-899</f>
        <v>3123</v>
      </c>
      <c r="H39">
        <f>H2-1044</f>
        <v>4019</v>
      </c>
      <c r="I39">
        <f>I2-1358</f>
        <v>6237</v>
      </c>
      <c r="J39">
        <f>J2-1655</f>
        <v>1942</v>
      </c>
      <c r="K39">
        <f>K2-1362</f>
        <v>949</v>
      </c>
      <c r="L39">
        <f>L2-1249</f>
        <v>-193</v>
      </c>
      <c r="M39">
        <f>M2-578</f>
        <v>326</v>
      </c>
      <c r="O39">
        <f>O2-139</f>
        <v>2218</v>
      </c>
      <c r="P39">
        <f>P2-146</f>
        <v>5789</v>
      </c>
      <c r="Q39">
        <f>Q2-201</f>
        <v>859</v>
      </c>
      <c r="R39">
        <f>R2-375</f>
        <v>1533</v>
      </c>
      <c r="S39">
        <f>S2-551</f>
        <v>1134</v>
      </c>
      <c r="T39">
        <f>T2-804</f>
        <v>2063</v>
      </c>
      <c r="U39">
        <f>U2-1191</f>
        <v>2153</v>
      </c>
      <c r="V39">
        <f>V2-1362</f>
        <v>2148</v>
      </c>
      <c r="W39">
        <f>W2-1753</f>
        <v>1450</v>
      </c>
      <c r="X39">
        <f>X2-1418</f>
        <v>1130</v>
      </c>
      <c r="Y39">
        <f>Y2-1406</f>
        <v>1183</v>
      </c>
      <c r="Z39">
        <f>Z2-650</f>
        <v>400</v>
      </c>
      <c r="AB39">
        <f>AB2-144</f>
        <v>1708</v>
      </c>
      <c r="AC39">
        <f>AC2-173</f>
        <v>2086</v>
      </c>
      <c r="AD39">
        <f>AD2-185</f>
        <v>1080</v>
      </c>
      <c r="AE39">
        <f>AE2-224</f>
        <v>1529</v>
      </c>
      <c r="AF39">
        <f>AF2-460</f>
        <v>1423</v>
      </c>
      <c r="AG39">
        <f>AG2-883</f>
        <v>1974</v>
      </c>
      <c r="AH39">
        <f>AH2-1338</f>
        <v>4015</v>
      </c>
      <c r="AI39">
        <f>AI2-1459</f>
        <v>5737</v>
      </c>
      <c r="AJ39">
        <f>AJ2-1934</f>
        <v>6901</v>
      </c>
      <c r="AK39">
        <f>AK2-1842</f>
        <v>6425</v>
      </c>
      <c r="AL39">
        <f>AL2-1864</f>
        <v>3850</v>
      </c>
      <c r="AM39">
        <f>AM2-956</f>
        <v>8631</v>
      </c>
      <c r="AO39">
        <f>AO2-125</f>
        <v>1960</v>
      </c>
      <c r="AP39">
        <f>AP2-123</f>
        <v>2834</v>
      </c>
      <c r="AQ39">
        <f>AQ2-151</f>
        <v>1380</v>
      </c>
      <c r="AR39">
        <f>AR2-251</f>
        <v>1439</v>
      </c>
      <c r="AS39">
        <f>AS2-484</f>
        <v>2221</v>
      </c>
      <c r="AT39">
        <f>AT2-624</f>
        <v>3816</v>
      </c>
      <c r="AU39">
        <f>AU2-722</f>
        <v>3302</v>
      </c>
      <c r="AV39">
        <f>AV2-1344</f>
        <v>5582</v>
      </c>
      <c r="AW39">
        <f>AW2-1569</f>
        <v>1987</v>
      </c>
      <c r="AX39">
        <f>AX2-1372</f>
        <v>3495</v>
      </c>
      <c r="AY39">
        <f>AY2-1064</f>
        <v>3032</v>
      </c>
      <c r="AZ39">
        <f>AZ2-1074</f>
        <v>1577</v>
      </c>
    </row>
    <row r="40" spans="1:52">
      <c r="B40">
        <f t="shared" ref="B40" si="2">B3-215</f>
        <v>2742</v>
      </c>
      <c r="C40">
        <f t="shared" ref="C40:C44" si="3">C3-240</f>
        <v>8146</v>
      </c>
      <c r="D40">
        <f t="shared" ref="D40:D46" si="4">D3-266</f>
        <v>1033</v>
      </c>
      <c r="E40">
        <f t="shared" ref="E40:E46" si="5">E3-259</f>
        <v>1793</v>
      </c>
      <c r="F40">
        <f t="shared" ref="F40:F47" si="6">F3-463</f>
        <v>1990</v>
      </c>
      <c r="G40">
        <f t="shared" ref="G40:G52" si="7">G3-899</f>
        <v>2934</v>
      </c>
      <c r="H40">
        <f t="shared" ref="H40:H44" si="8">H3-1044</f>
        <v>4551</v>
      </c>
      <c r="I40">
        <f t="shared" ref="I40:I52" si="9">I3-1358</f>
        <v>2784</v>
      </c>
      <c r="J40">
        <f t="shared" ref="J40:J52" si="10">J3-1655</f>
        <v>2204</v>
      </c>
      <c r="K40">
        <f t="shared" ref="K40:K49" si="11">K3-1362</f>
        <v>378</v>
      </c>
      <c r="L40">
        <f t="shared" ref="L40:L45" si="12">L3-1249</f>
        <v>-134</v>
      </c>
      <c r="M40">
        <f t="shared" ref="M40:M43" si="13">M3-578</f>
        <v>610</v>
      </c>
      <c r="O40">
        <f t="shared" ref="O40:O42" si="14">O3-139</f>
        <v>1945</v>
      </c>
      <c r="P40">
        <f t="shared" ref="P40:P44" si="15">P3-146</f>
        <v>4308</v>
      </c>
      <c r="Q40">
        <f t="shared" ref="Q40:Q42" si="16">Q3-201</f>
        <v>1021</v>
      </c>
      <c r="R40">
        <f t="shared" ref="R40:R42" si="17">R3-375</f>
        <v>1317</v>
      </c>
      <c r="S40">
        <f t="shared" ref="S40:S44" si="18">S3-551</f>
        <v>1057</v>
      </c>
      <c r="T40">
        <f t="shared" ref="T40:T44" si="19">T3-804</f>
        <v>1728</v>
      </c>
      <c r="U40">
        <f t="shared" ref="U40:U47" si="20">U3-1191</f>
        <v>1641</v>
      </c>
      <c r="V40">
        <f t="shared" ref="V40:V43" si="21">V3-1362</f>
        <v>4475</v>
      </c>
      <c r="W40">
        <f t="shared" ref="W40:W43" si="22">W3-1753</f>
        <v>2686</v>
      </c>
      <c r="X40">
        <f t="shared" ref="X40:X43" si="23">X3-1418</f>
        <v>1656</v>
      </c>
      <c r="Y40">
        <f t="shared" ref="Y40:Y46" si="24">Y3-1406</f>
        <v>1212</v>
      </c>
      <c r="Z40">
        <f t="shared" ref="Z40:Z43" si="25">Z3-650</f>
        <v>403</v>
      </c>
      <c r="AB40">
        <f>AB3-144</f>
        <v>1462</v>
      </c>
      <c r="AC40">
        <f t="shared" ref="AC40:AC42" si="26">AC3-173</f>
        <v>2863</v>
      </c>
      <c r="AD40">
        <f t="shared" ref="AD40:AD41" si="27">AD3-185</f>
        <v>945</v>
      </c>
      <c r="AE40">
        <f t="shared" ref="AE40:AE41" si="28">AE3-224</f>
        <v>2305</v>
      </c>
      <c r="AF40">
        <f t="shared" ref="AF40:AF41" si="29">AF3-460</f>
        <v>2227</v>
      </c>
      <c r="AG40">
        <f t="shared" ref="AG40:AG43" si="30">AG3-883</f>
        <v>2021</v>
      </c>
      <c r="AH40">
        <f t="shared" ref="AH40:AH43" si="31">AH3-1338</f>
        <v>3872</v>
      </c>
      <c r="AI40">
        <f t="shared" ref="AI40:AI43" si="32">AI3-1459</f>
        <v>5730</v>
      </c>
      <c r="AJ40">
        <f t="shared" ref="AJ40:AJ42" si="33">AJ3-1934</f>
        <v>4086</v>
      </c>
      <c r="AK40">
        <f t="shared" ref="AK40:AK41" si="34">AK3-1842</f>
        <v>9665</v>
      </c>
      <c r="AL40">
        <f t="shared" ref="AL40:AL41" si="35">AL3-1864</f>
        <v>3876</v>
      </c>
      <c r="AM40">
        <f>AM3-956</f>
        <v>5350</v>
      </c>
      <c r="AO40">
        <f t="shared" ref="AO40:AO41" si="36">AO3-125</f>
        <v>2272</v>
      </c>
      <c r="AP40">
        <f t="shared" ref="AP40:AP43" si="37">AP3-123</f>
        <v>2686</v>
      </c>
      <c r="AQ40">
        <f t="shared" ref="AQ40:AQ41" si="38">AQ3-151</f>
        <v>1316</v>
      </c>
      <c r="AR40">
        <f t="shared" ref="AR40:AR42" si="39">AR3-251</f>
        <v>894</v>
      </c>
      <c r="AS40">
        <f t="shared" ref="AS40:AS41" si="40">AS3-484</f>
        <v>2280</v>
      </c>
      <c r="AT40">
        <f t="shared" ref="AT40:AT41" si="41">AT3-624</f>
        <v>2239</v>
      </c>
      <c r="AU40">
        <f t="shared" ref="AU40:AU41" si="42">AU3-722</f>
        <v>5142</v>
      </c>
      <c r="AV40">
        <f t="shared" ref="AV40:AV44" si="43">AV3-1344</f>
        <v>4410</v>
      </c>
      <c r="AW40">
        <f t="shared" ref="AW40:AW45" si="44">AW3-1569</f>
        <v>2387</v>
      </c>
      <c r="AX40">
        <f t="shared" ref="AX40:AX42" si="45">AX3-1372</f>
        <v>2563</v>
      </c>
      <c r="AY40">
        <f t="shared" ref="AY40:AY42" si="46">AY3-1064</f>
        <v>1051</v>
      </c>
      <c r="AZ40">
        <f t="shared" ref="AZ40:AZ41" si="47">AZ3-1074</f>
        <v>1446</v>
      </c>
    </row>
    <row r="41" spans="1:52">
      <c r="B41">
        <f t="shared" ref="B41" si="48">B4-215</f>
        <v>2018</v>
      </c>
      <c r="C41">
        <f t="shared" si="3"/>
        <v>6308</v>
      </c>
      <c r="D41">
        <f t="shared" si="4"/>
        <v>1672</v>
      </c>
      <c r="E41">
        <f t="shared" si="5"/>
        <v>1160</v>
      </c>
      <c r="F41">
        <f t="shared" si="6"/>
        <v>989</v>
      </c>
      <c r="G41">
        <f t="shared" si="7"/>
        <v>2645</v>
      </c>
      <c r="H41">
        <f t="shared" si="8"/>
        <v>4159</v>
      </c>
      <c r="I41">
        <f t="shared" si="9"/>
        <v>5280</v>
      </c>
      <c r="J41">
        <f t="shared" si="10"/>
        <v>2540</v>
      </c>
      <c r="K41">
        <f t="shared" si="11"/>
        <v>524</v>
      </c>
      <c r="L41">
        <f t="shared" si="12"/>
        <v>-116</v>
      </c>
      <c r="M41">
        <f t="shared" si="13"/>
        <v>949</v>
      </c>
      <c r="O41">
        <f t="shared" si="14"/>
        <v>1554</v>
      </c>
      <c r="P41">
        <f t="shared" si="15"/>
        <v>4555</v>
      </c>
      <c r="Q41">
        <f t="shared" si="16"/>
        <v>774</v>
      </c>
      <c r="R41">
        <f t="shared" si="17"/>
        <v>1260</v>
      </c>
      <c r="S41">
        <f t="shared" si="18"/>
        <v>850</v>
      </c>
      <c r="T41">
        <f t="shared" si="19"/>
        <v>2290</v>
      </c>
      <c r="U41">
        <f t="shared" si="20"/>
        <v>1379</v>
      </c>
      <c r="V41">
        <f t="shared" si="21"/>
        <v>4047</v>
      </c>
      <c r="W41">
        <f t="shared" si="22"/>
        <v>2824</v>
      </c>
      <c r="X41">
        <f t="shared" si="23"/>
        <v>111</v>
      </c>
      <c r="Y41">
        <f t="shared" si="24"/>
        <v>774</v>
      </c>
      <c r="Z41">
        <f t="shared" si="25"/>
        <v>460</v>
      </c>
      <c r="AC41">
        <f t="shared" si="26"/>
        <v>3861</v>
      </c>
      <c r="AD41">
        <f t="shared" si="27"/>
        <v>1218</v>
      </c>
      <c r="AE41">
        <f t="shared" si="28"/>
        <v>1539</v>
      </c>
      <c r="AF41">
        <f t="shared" si="29"/>
        <v>3018</v>
      </c>
      <c r="AG41">
        <f t="shared" si="30"/>
        <v>2884</v>
      </c>
      <c r="AH41">
        <f t="shared" si="31"/>
        <v>2543</v>
      </c>
      <c r="AI41">
        <f t="shared" si="32"/>
        <v>8014</v>
      </c>
      <c r="AJ41">
        <f t="shared" si="33"/>
        <v>6076</v>
      </c>
      <c r="AK41">
        <f t="shared" si="34"/>
        <v>7204</v>
      </c>
      <c r="AL41">
        <f t="shared" si="35"/>
        <v>5206</v>
      </c>
      <c r="AO41">
        <f t="shared" si="36"/>
        <v>1960</v>
      </c>
      <c r="AP41">
        <f t="shared" si="37"/>
        <v>2867</v>
      </c>
      <c r="AQ41">
        <f t="shared" si="38"/>
        <v>1134</v>
      </c>
      <c r="AR41">
        <f t="shared" si="39"/>
        <v>1844</v>
      </c>
      <c r="AS41">
        <f t="shared" si="40"/>
        <v>2083</v>
      </c>
      <c r="AT41">
        <f t="shared" si="41"/>
        <v>2285</v>
      </c>
      <c r="AU41">
        <f t="shared" si="42"/>
        <v>4678</v>
      </c>
      <c r="AV41">
        <f t="shared" si="43"/>
        <v>4677</v>
      </c>
      <c r="AW41">
        <f t="shared" si="44"/>
        <v>2909</v>
      </c>
      <c r="AX41">
        <f t="shared" si="45"/>
        <v>3819</v>
      </c>
      <c r="AY41">
        <f t="shared" si="46"/>
        <v>3030</v>
      </c>
      <c r="AZ41">
        <f t="shared" si="47"/>
        <v>1680</v>
      </c>
    </row>
    <row r="42" spans="1:52">
      <c r="B42">
        <f t="shared" ref="B42" si="49">B5-215</f>
        <v>2570</v>
      </c>
      <c r="C42">
        <f t="shared" si="3"/>
        <v>3584</v>
      </c>
      <c r="D42">
        <f t="shared" si="4"/>
        <v>1162</v>
      </c>
      <c r="E42">
        <f t="shared" si="5"/>
        <v>1490</v>
      </c>
      <c r="F42">
        <f t="shared" si="6"/>
        <v>1977</v>
      </c>
      <c r="G42">
        <f t="shared" si="7"/>
        <v>3518</v>
      </c>
      <c r="H42">
        <f t="shared" si="8"/>
        <v>3468</v>
      </c>
      <c r="I42">
        <f t="shared" si="9"/>
        <v>6509</v>
      </c>
      <c r="J42">
        <f t="shared" si="10"/>
        <v>1969</v>
      </c>
      <c r="K42">
        <f t="shared" si="11"/>
        <v>837</v>
      </c>
      <c r="L42">
        <f t="shared" si="12"/>
        <v>65</v>
      </c>
      <c r="M42">
        <f t="shared" si="13"/>
        <v>366</v>
      </c>
      <c r="O42">
        <f t="shared" si="14"/>
        <v>1825</v>
      </c>
      <c r="P42">
        <f t="shared" si="15"/>
        <v>3387</v>
      </c>
      <c r="Q42">
        <f t="shared" si="16"/>
        <v>699</v>
      </c>
      <c r="R42">
        <f t="shared" si="17"/>
        <v>754</v>
      </c>
      <c r="S42">
        <f t="shared" si="18"/>
        <v>1579</v>
      </c>
      <c r="T42">
        <f t="shared" si="19"/>
        <v>817</v>
      </c>
      <c r="U42">
        <f t="shared" si="20"/>
        <v>2649</v>
      </c>
      <c r="V42">
        <f t="shared" si="21"/>
        <v>927</v>
      </c>
      <c r="W42">
        <f t="shared" si="22"/>
        <v>346</v>
      </c>
      <c r="X42">
        <f t="shared" si="23"/>
        <v>-197</v>
      </c>
      <c r="Y42">
        <f t="shared" si="24"/>
        <v>399</v>
      </c>
      <c r="Z42">
        <f t="shared" si="25"/>
        <v>1191</v>
      </c>
      <c r="AC42">
        <f t="shared" si="26"/>
        <v>3777</v>
      </c>
      <c r="AG42">
        <f t="shared" si="30"/>
        <v>3056</v>
      </c>
      <c r="AH42">
        <f t="shared" si="31"/>
        <v>3024</v>
      </c>
      <c r="AI42">
        <f t="shared" si="32"/>
        <v>8492</v>
      </c>
      <c r="AJ42">
        <f t="shared" si="33"/>
        <v>4430</v>
      </c>
      <c r="AP42">
        <f t="shared" si="37"/>
        <v>4710</v>
      </c>
      <c r="AR42">
        <f t="shared" si="39"/>
        <v>751</v>
      </c>
      <c r="AV42">
        <f t="shared" si="43"/>
        <v>4736</v>
      </c>
      <c r="AW42">
        <f t="shared" si="44"/>
        <v>4377</v>
      </c>
      <c r="AX42">
        <f t="shared" si="45"/>
        <v>2657</v>
      </c>
      <c r="AY42">
        <f t="shared" si="46"/>
        <v>2124</v>
      </c>
    </row>
    <row r="43" spans="1:52">
      <c r="B43">
        <f t="shared" ref="B43" si="50">B6-215</f>
        <v>2146</v>
      </c>
      <c r="C43">
        <f t="shared" si="3"/>
        <v>5292</v>
      </c>
      <c r="D43">
        <f t="shared" si="4"/>
        <v>788</v>
      </c>
      <c r="E43">
        <f t="shared" si="5"/>
        <v>1498</v>
      </c>
      <c r="F43">
        <f t="shared" si="6"/>
        <v>1302</v>
      </c>
      <c r="G43">
        <f t="shared" si="7"/>
        <v>2727</v>
      </c>
      <c r="H43">
        <f t="shared" si="8"/>
        <v>4956</v>
      </c>
      <c r="I43">
        <f t="shared" si="9"/>
        <v>3526</v>
      </c>
      <c r="J43">
        <f t="shared" si="10"/>
        <v>3153</v>
      </c>
      <c r="K43">
        <f t="shared" si="11"/>
        <v>913</v>
      </c>
      <c r="L43">
        <f t="shared" si="12"/>
        <v>20</v>
      </c>
      <c r="M43">
        <f t="shared" si="13"/>
        <v>384</v>
      </c>
      <c r="P43">
        <f t="shared" si="15"/>
        <v>4647</v>
      </c>
      <c r="S43">
        <f t="shared" si="18"/>
        <v>1006</v>
      </c>
      <c r="T43">
        <f t="shared" si="19"/>
        <v>798</v>
      </c>
      <c r="U43">
        <f t="shared" si="20"/>
        <v>3175</v>
      </c>
      <c r="V43">
        <f t="shared" si="21"/>
        <v>1448</v>
      </c>
      <c r="W43">
        <f t="shared" si="22"/>
        <v>1294</v>
      </c>
      <c r="X43">
        <f t="shared" si="23"/>
        <v>-481</v>
      </c>
      <c r="Y43">
        <f t="shared" si="24"/>
        <v>-502</v>
      </c>
      <c r="Z43">
        <f t="shared" si="25"/>
        <v>1445</v>
      </c>
      <c r="AG43">
        <f t="shared" si="30"/>
        <v>1495</v>
      </c>
      <c r="AH43">
        <f t="shared" si="31"/>
        <v>2700</v>
      </c>
      <c r="AI43">
        <f t="shared" si="32"/>
        <v>4735</v>
      </c>
      <c r="AP43">
        <f t="shared" si="37"/>
        <v>4308</v>
      </c>
      <c r="AV43">
        <f t="shared" si="43"/>
        <v>3367</v>
      </c>
      <c r="AW43">
        <f t="shared" si="44"/>
        <v>2415</v>
      </c>
    </row>
    <row r="44" spans="1:52">
      <c r="B44">
        <f t="shared" ref="B44" si="51">B7-215</f>
        <v>2127</v>
      </c>
      <c r="C44">
        <f t="shared" si="3"/>
        <v>5670</v>
      </c>
      <c r="D44">
        <f t="shared" si="4"/>
        <v>1054</v>
      </c>
      <c r="E44">
        <f t="shared" si="5"/>
        <v>1362</v>
      </c>
      <c r="F44">
        <f t="shared" si="6"/>
        <v>762</v>
      </c>
      <c r="G44">
        <f t="shared" si="7"/>
        <v>3369</v>
      </c>
      <c r="H44">
        <f t="shared" si="8"/>
        <v>3442</v>
      </c>
      <c r="I44">
        <f t="shared" si="9"/>
        <v>6294</v>
      </c>
      <c r="J44">
        <f t="shared" si="10"/>
        <v>1891</v>
      </c>
      <c r="K44">
        <f t="shared" si="11"/>
        <v>1524</v>
      </c>
      <c r="L44">
        <f t="shared" si="12"/>
        <v>-37</v>
      </c>
      <c r="P44">
        <f t="shared" si="15"/>
        <v>2800</v>
      </c>
      <c r="S44">
        <f t="shared" si="18"/>
        <v>1382</v>
      </c>
      <c r="T44">
        <f t="shared" si="19"/>
        <v>908</v>
      </c>
      <c r="U44">
        <f t="shared" si="20"/>
        <v>1216</v>
      </c>
      <c r="Y44">
        <f t="shared" si="24"/>
        <v>435</v>
      </c>
      <c r="AV44">
        <f t="shared" si="43"/>
        <v>4996</v>
      </c>
      <c r="AW44">
        <f t="shared" si="44"/>
        <v>3720</v>
      </c>
    </row>
    <row r="45" spans="1:52">
      <c r="D45">
        <f t="shared" si="4"/>
        <v>1312</v>
      </c>
      <c r="E45">
        <f t="shared" si="5"/>
        <v>1597</v>
      </c>
      <c r="F45">
        <f t="shared" si="6"/>
        <v>1673</v>
      </c>
      <c r="G45">
        <f t="shared" si="7"/>
        <v>2599</v>
      </c>
      <c r="I45">
        <f t="shared" si="9"/>
        <v>4501</v>
      </c>
      <c r="J45">
        <f t="shared" si="10"/>
        <v>3164</v>
      </c>
      <c r="K45">
        <f t="shared" si="11"/>
        <v>1600</v>
      </c>
      <c r="L45">
        <f t="shared" si="12"/>
        <v>139</v>
      </c>
      <c r="U45">
        <f t="shared" si="20"/>
        <v>1354</v>
      </c>
      <c r="Y45">
        <f t="shared" si="24"/>
        <v>-41</v>
      </c>
      <c r="AW45">
        <f t="shared" si="44"/>
        <v>4190</v>
      </c>
    </row>
    <row r="46" spans="1:52">
      <c r="D46">
        <f t="shared" si="4"/>
        <v>1127</v>
      </c>
      <c r="E46">
        <f t="shared" si="5"/>
        <v>1173</v>
      </c>
      <c r="F46">
        <f t="shared" si="6"/>
        <v>1913</v>
      </c>
      <c r="G46">
        <f t="shared" si="7"/>
        <v>3111</v>
      </c>
      <c r="I46">
        <f t="shared" si="9"/>
        <v>4152</v>
      </c>
      <c r="J46">
        <f t="shared" si="10"/>
        <v>1685</v>
      </c>
      <c r="K46">
        <f t="shared" si="11"/>
        <v>1523</v>
      </c>
      <c r="U46">
        <f t="shared" si="20"/>
        <v>1266</v>
      </c>
      <c r="Y46">
        <f t="shared" si="24"/>
        <v>778</v>
      </c>
    </row>
    <row r="47" spans="1:52">
      <c r="F47">
        <f t="shared" si="6"/>
        <v>707</v>
      </c>
      <c r="G47">
        <f t="shared" si="7"/>
        <v>2576</v>
      </c>
      <c r="I47">
        <f t="shared" si="9"/>
        <v>4478</v>
      </c>
      <c r="J47">
        <f t="shared" si="10"/>
        <v>2342</v>
      </c>
      <c r="K47">
        <f t="shared" si="11"/>
        <v>573</v>
      </c>
      <c r="U47">
        <f t="shared" si="20"/>
        <v>1073</v>
      </c>
    </row>
    <row r="48" spans="1:52">
      <c r="G48">
        <f t="shared" si="7"/>
        <v>2446</v>
      </c>
      <c r="I48">
        <f t="shared" si="9"/>
        <v>5615</v>
      </c>
      <c r="J48">
        <f t="shared" si="10"/>
        <v>2117</v>
      </c>
      <c r="K48">
        <f t="shared" si="11"/>
        <v>581</v>
      </c>
    </row>
    <row r="49" spans="1:52">
      <c r="G49">
        <f t="shared" si="7"/>
        <v>2307</v>
      </c>
      <c r="I49">
        <f t="shared" si="9"/>
        <v>3772</v>
      </c>
      <c r="J49">
        <f t="shared" si="10"/>
        <v>1181</v>
      </c>
      <c r="K49">
        <f t="shared" si="11"/>
        <v>606</v>
      </c>
    </row>
    <row r="50" spans="1:52">
      <c r="G50">
        <f t="shared" si="7"/>
        <v>1792</v>
      </c>
      <c r="I50">
        <f t="shared" si="9"/>
        <v>4481</v>
      </c>
      <c r="J50">
        <f t="shared" si="10"/>
        <v>1409</v>
      </c>
    </row>
    <row r="51" spans="1:52">
      <c r="G51">
        <f t="shared" si="7"/>
        <v>2684</v>
      </c>
      <c r="I51">
        <f t="shared" si="9"/>
        <v>5137</v>
      </c>
      <c r="J51">
        <f t="shared" si="10"/>
        <v>1819</v>
      </c>
    </row>
    <row r="52" spans="1:52">
      <c r="G52">
        <f t="shared" si="7"/>
        <v>2887</v>
      </c>
      <c r="I52">
        <f t="shared" si="9"/>
        <v>4432</v>
      </c>
      <c r="J52">
        <f t="shared" si="10"/>
        <v>1698</v>
      </c>
    </row>
    <row r="54" spans="1:52">
      <c r="A54" t="s">
        <v>12</v>
      </c>
      <c r="B54">
        <f>AVERAGE(B39:B52)</f>
        <v>2361.8333333333335</v>
      </c>
      <c r="C54">
        <f t="shared" ref="C54:AZ54" si="52">AVERAGE(C39:C52)</f>
        <v>6059</v>
      </c>
      <c r="D54">
        <f t="shared" si="52"/>
        <v>1161.5</v>
      </c>
      <c r="E54">
        <f t="shared" si="52"/>
        <v>1444.375</v>
      </c>
      <c r="F54">
        <f t="shared" si="52"/>
        <v>1525.8888888888889</v>
      </c>
      <c r="G54">
        <f t="shared" si="52"/>
        <v>2765.5714285714284</v>
      </c>
      <c r="H54">
        <f t="shared" si="52"/>
        <v>4099.166666666667</v>
      </c>
      <c r="I54">
        <f t="shared" si="52"/>
        <v>4799.8571428571431</v>
      </c>
      <c r="J54">
        <f t="shared" si="52"/>
        <v>2079.5714285714284</v>
      </c>
      <c r="K54">
        <f t="shared" si="52"/>
        <v>909.81818181818187</v>
      </c>
      <c r="L54">
        <f t="shared" si="52"/>
        <v>-36.571428571428569</v>
      </c>
      <c r="M54">
        <f t="shared" si="52"/>
        <v>527</v>
      </c>
      <c r="O54">
        <f t="shared" si="52"/>
        <v>1885.5</v>
      </c>
      <c r="P54">
        <f t="shared" si="52"/>
        <v>4247.666666666667</v>
      </c>
      <c r="Q54">
        <f t="shared" si="52"/>
        <v>838.25</v>
      </c>
      <c r="R54">
        <f t="shared" si="52"/>
        <v>1216</v>
      </c>
      <c r="S54">
        <f t="shared" si="52"/>
        <v>1168</v>
      </c>
      <c r="T54">
        <f t="shared" si="52"/>
        <v>1434</v>
      </c>
      <c r="U54">
        <f t="shared" si="52"/>
        <v>1767.3333333333333</v>
      </c>
      <c r="V54">
        <f t="shared" si="52"/>
        <v>2609</v>
      </c>
      <c r="W54">
        <f t="shared" si="52"/>
        <v>1720</v>
      </c>
      <c r="X54">
        <f t="shared" si="52"/>
        <v>443.8</v>
      </c>
      <c r="Y54">
        <f t="shared" si="52"/>
        <v>529.75</v>
      </c>
      <c r="Z54">
        <f t="shared" si="52"/>
        <v>779.8</v>
      </c>
      <c r="AB54">
        <f t="shared" si="52"/>
        <v>1585</v>
      </c>
      <c r="AC54">
        <f t="shared" si="52"/>
        <v>3146.75</v>
      </c>
      <c r="AD54">
        <f t="shared" si="52"/>
        <v>1081</v>
      </c>
      <c r="AE54">
        <f t="shared" si="52"/>
        <v>1791</v>
      </c>
      <c r="AF54">
        <f t="shared" si="52"/>
        <v>2222.6666666666665</v>
      </c>
      <c r="AG54">
        <f t="shared" si="52"/>
        <v>2286</v>
      </c>
      <c r="AH54">
        <f t="shared" si="52"/>
        <v>3230.8</v>
      </c>
      <c r="AI54">
        <f t="shared" si="52"/>
        <v>6541.6</v>
      </c>
      <c r="AJ54">
        <f t="shared" si="52"/>
        <v>5373.25</v>
      </c>
      <c r="AK54">
        <f t="shared" si="52"/>
        <v>7764.666666666667</v>
      </c>
      <c r="AL54">
        <f t="shared" si="52"/>
        <v>4310.666666666667</v>
      </c>
      <c r="AM54">
        <f t="shared" si="52"/>
        <v>6990.5</v>
      </c>
      <c r="AO54">
        <f t="shared" si="52"/>
        <v>2064</v>
      </c>
      <c r="AP54">
        <f t="shared" si="52"/>
        <v>3481</v>
      </c>
      <c r="AQ54">
        <f t="shared" si="52"/>
        <v>1276.6666666666667</v>
      </c>
      <c r="AR54">
        <f t="shared" si="52"/>
        <v>1232</v>
      </c>
      <c r="AS54">
        <f t="shared" si="52"/>
        <v>2194.6666666666665</v>
      </c>
      <c r="AT54">
        <f t="shared" si="52"/>
        <v>2780</v>
      </c>
      <c r="AU54">
        <f t="shared" si="52"/>
        <v>4374</v>
      </c>
      <c r="AV54">
        <f t="shared" si="52"/>
        <v>4628</v>
      </c>
      <c r="AW54">
        <f t="shared" si="52"/>
        <v>3140.7142857142858</v>
      </c>
      <c r="AX54">
        <f t="shared" si="52"/>
        <v>3133.5</v>
      </c>
      <c r="AY54">
        <f t="shared" si="52"/>
        <v>2309.25</v>
      </c>
      <c r="AZ54">
        <f t="shared" si="52"/>
        <v>1567.6666666666667</v>
      </c>
    </row>
    <row r="55" spans="1:52">
      <c r="A55" t="s">
        <v>13</v>
      </c>
      <c r="B55">
        <f>STDEV(B39:B52)</f>
        <v>300.10559252814068</v>
      </c>
      <c r="C55">
        <f t="shared" ref="C55:AZ55" si="53">STDEV(C39:C52)</f>
        <v>1609.9583845553275</v>
      </c>
      <c r="D55">
        <f t="shared" si="53"/>
        <v>254.20127008786898</v>
      </c>
      <c r="E55">
        <f t="shared" si="53"/>
        <v>211.29054978529311</v>
      </c>
      <c r="F55">
        <f t="shared" si="53"/>
        <v>610.56458389846932</v>
      </c>
      <c r="G55">
        <f t="shared" si="53"/>
        <v>444.37349403154383</v>
      </c>
      <c r="H55">
        <f t="shared" si="53"/>
        <v>596.41643728745908</v>
      </c>
      <c r="I55">
        <f t="shared" si="53"/>
        <v>1103.1482819041751</v>
      </c>
      <c r="J55">
        <f t="shared" si="53"/>
        <v>576.39258980526222</v>
      </c>
      <c r="K55">
        <f t="shared" si="53"/>
        <v>445.19317563992792</v>
      </c>
      <c r="L55">
        <f t="shared" si="53"/>
        <v>118.75304507373997</v>
      </c>
      <c r="M55">
        <f t="shared" si="53"/>
        <v>260.64535292231858</v>
      </c>
      <c r="O55">
        <f t="shared" si="53"/>
        <v>275.46869150594955</v>
      </c>
      <c r="P55">
        <f t="shared" si="53"/>
        <v>1045.921157003082</v>
      </c>
      <c r="Q55">
        <f t="shared" si="53"/>
        <v>138.25911663732461</v>
      </c>
      <c r="R55">
        <f t="shared" si="53"/>
        <v>329.68166464030116</v>
      </c>
      <c r="S55">
        <f t="shared" si="53"/>
        <v>266.6690833223829</v>
      </c>
      <c r="T55">
        <f t="shared" si="53"/>
        <v>674.78500279718719</v>
      </c>
      <c r="U55">
        <f t="shared" si="53"/>
        <v>731.65992783532977</v>
      </c>
      <c r="V55">
        <f t="shared" si="53"/>
        <v>1576.3380030945141</v>
      </c>
      <c r="W55">
        <f t="shared" si="53"/>
        <v>1036.1254750270355</v>
      </c>
      <c r="X55">
        <f t="shared" si="53"/>
        <v>910.62269903621439</v>
      </c>
      <c r="Y55">
        <f t="shared" si="53"/>
        <v>589.16690577216139</v>
      </c>
      <c r="Z55">
        <f t="shared" si="53"/>
        <v>500.01869965032301</v>
      </c>
      <c r="AB55">
        <f t="shared" si="53"/>
        <v>173.9482681718907</v>
      </c>
      <c r="AC55">
        <f t="shared" si="53"/>
        <v>839.26014044117062</v>
      </c>
      <c r="AD55">
        <f t="shared" si="53"/>
        <v>136.50274722510167</v>
      </c>
      <c r="AE55">
        <f t="shared" si="53"/>
        <v>445.16513789828599</v>
      </c>
      <c r="AF55">
        <f t="shared" si="53"/>
        <v>797.50882962719163</v>
      </c>
      <c r="AG55">
        <f t="shared" si="53"/>
        <v>660.25638959422417</v>
      </c>
      <c r="AH55">
        <f t="shared" si="53"/>
        <v>675.22048250923137</v>
      </c>
      <c r="AI55">
        <f t="shared" si="53"/>
        <v>1623.414703641678</v>
      </c>
      <c r="AJ55">
        <f t="shared" si="53"/>
        <v>1338.4830655135936</v>
      </c>
      <c r="AK55">
        <f t="shared" si="53"/>
        <v>1691.2008554081708</v>
      </c>
      <c r="AL55">
        <f t="shared" si="53"/>
        <v>775.49038248925569</v>
      </c>
      <c r="AM55">
        <f t="shared" si="53"/>
        <v>2320.0173490730626</v>
      </c>
      <c r="AO55">
        <f t="shared" si="53"/>
        <v>180.13328398716322</v>
      </c>
      <c r="AP55">
        <f t="shared" si="53"/>
        <v>951.57763740012297</v>
      </c>
      <c r="AQ55">
        <f t="shared" si="53"/>
        <v>127.62967262095964</v>
      </c>
      <c r="AR55">
        <f t="shared" si="53"/>
        <v>504.31405559102421</v>
      </c>
      <c r="AS55">
        <f t="shared" si="53"/>
        <v>101.10555540292202</v>
      </c>
      <c r="AT55">
        <f t="shared" si="53"/>
        <v>897.4970752041479</v>
      </c>
      <c r="AU55">
        <f t="shared" si="53"/>
        <v>956.92841947556349</v>
      </c>
      <c r="AV55">
        <f t="shared" si="53"/>
        <v>734.47259989736858</v>
      </c>
      <c r="AW55">
        <f t="shared" si="53"/>
        <v>952.58153006898692</v>
      </c>
      <c r="AX55">
        <f t="shared" si="53"/>
        <v>619.97715011657215</v>
      </c>
      <c r="AY55">
        <f t="shared" si="53"/>
        <v>941.51628592747488</v>
      </c>
      <c r="AZ55">
        <f t="shared" si="53"/>
        <v>117.27886993543778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bxd</vt:lpstr>
      <vt:lpstr>bab2</vt:lpstr>
      <vt:lpstr>stg</vt:lpstr>
      <vt:lpstr>E2f</vt:lpstr>
      <vt:lpstr>Rbp6</vt:lpstr>
      <vt:lpstr>Ets98B</vt:lpstr>
      <vt:lpstr>blimp1</vt:lpstr>
      <vt:lpstr>blimp1_en</vt:lpstr>
      <vt:lpstr>antp</vt:lpstr>
      <vt:lpstr>OR67D</vt:lpstr>
      <vt:lpstr>rn</vt:lpstr>
      <vt:lpstr>Dak1</vt:lpstr>
      <vt:lpstr>Tsp68C</vt:lpstr>
      <vt:lpstr>Pb_133</vt:lpstr>
      <vt:lpstr>klu</vt:lpstr>
      <vt:lpstr>Fig1GHand6Asummary.txt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DeLuca</dc:creator>
  <cp:lastModifiedBy>Steven DeLuca</cp:lastModifiedBy>
  <dcterms:created xsi:type="dcterms:W3CDTF">2019-11-08T20:23:27Z</dcterms:created>
  <dcterms:modified xsi:type="dcterms:W3CDTF">2020-07-06T17:59:52Z</dcterms:modified>
</cp:coreProperties>
</file>