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urrentGroupMembersRottierLab\711671\ActiveManuscripts\Evelien Eenjes\Sox21 paper\eLife\FINAL revision files\"/>
    </mc:Choice>
  </mc:AlternateContent>
  <bookViews>
    <workbookView xWindow="0" yWindow="0" windowWidth="28800" windowHeight="12300" activeTab="2"/>
  </bookViews>
  <sheets>
    <sheet name="Fig3 A-D  S21KO E14.5" sheetId="1" r:id="rId1"/>
    <sheet name="Sup Fig 3A-D S2 HET E14.5" sheetId="6" r:id="rId2"/>
    <sheet name="Fig3E SupFig3E S21 S2 HET E18.5" sheetId="9" r:id="rId3"/>
  </sheet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4" i="6" l="1"/>
  <c r="Q39" i="6"/>
  <c r="F39" i="6"/>
  <c r="V38" i="6"/>
  <c r="U38" i="6"/>
  <c r="U39" i="6" s="1"/>
  <c r="S38" i="6"/>
  <c r="R38" i="6"/>
  <c r="Q38" i="6"/>
  <c r="O38" i="6"/>
  <c r="O39" i="6" s="1"/>
  <c r="K38" i="6"/>
  <c r="J38" i="6"/>
  <c r="J39" i="6" s="1"/>
  <c r="I38" i="6"/>
  <c r="H38" i="6"/>
  <c r="H39" i="6" s="1"/>
  <c r="G38" i="6"/>
  <c r="D38" i="6"/>
  <c r="T37" i="6"/>
  <c r="P37" i="6"/>
  <c r="E37" i="6"/>
  <c r="T36" i="6"/>
  <c r="T38" i="6" s="1"/>
  <c r="P36" i="6"/>
  <c r="P38" i="6" s="1"/>
  <c r="I35" i="6"/>
  <c r="E35" i="6"/>
  <c r="E38" i="6" s="1"/>
  <c r="D39" i="6" s="1"/>
  <c r="H31" i="6"/>
  <c r="V30" i="6"/>
  <c r="U30" i="6"/>
  <c r="U31" i="6" s="1"/>
  <c r="S30" i="6"/>
  <c r="R30" i="6"/>
  <c r="Q30" i="6"/>
  <c r="Q31" i="6" s="1"/>
  <c r="O30" i="6"/>
  <c r="O31" i="6" s="1"/>
  <c r="K30" i="6"/>
  <c r="J30" i="6"/>
  <c r="J31" i="6" s="1"/>
  <c r="I30" i="6"/>
  <c r="H30" i="6"/>
  <c r="G30" i="6"/>
  <c r="F30" i="6"/>
  <c r="F31" i="6" s="1"/>
  <c r="D30" i="6"/>
  <c r="T29" i="6"/>
  <c r="T28" i="6"/>
  <c r="P28" i="6"/>
  <c r="E28" i="6"/>
  <c r="E30" i="6" s="1"/>
  <c r="T27" i="6"/>
  <c r="T30" i="6" s="1"/>
  <c r="S31" i="6" s="1"/>
  <c r="P27" i="6"/>
  <c r="P30" i="6" s="1"/>
  <c r="J62" i="1"/>
  <c r="H62" i="1"/>
  <c r="F62" i="1"/>
  <c r="D62" i="1"/>
  <c r="K61" i="1"/>
  <c r="I61" i="1"/>
  <c r="G61" i="1"/>
  <c r="I60" i="1"/>
  <c r="I62" i="1" s="1"/>
  <c r="K59" i="1"/>
  <c r="K62" i="1" s="1"/>
  <c r="I59" i="1"/>
  <c r="G59" i="1"/>
  <c r="G62" i="1" s="1"/>
  <c r="F63" i="1" s="1"/>
  <c r="E59" i="1"/>
  <c r="E62" i="1" s="1"/>
  <c r="K53" i="1"/>
  <c r="J53" i="1"/>
  <c r="J54" i="1" s="1"/>
  <c r="H53" i="1"/>
  <c r="H54" i="1" s="1"/>
  <c r="F53" i="1"/>
  <c r="D53" i="1"/>
  <c r="I52" i="1"/>
  <c r="G52" i="1"/>
  <c r="G53" i="1" s="1"/>
  <c r="F54" i="1" s="1"/>
  <c r="E51" i="1"/>
  <c r="E53" i="1" s="1"/>
  <c r="I50" i="1"/>
  <c r="I53" i="1" s="1"/>
  <c r="F45" i="1"/>
  <c r="E45" i="1"/>
  <c r="D45" i="1"/>
  <c r="D46" i="1" s="1"/>
  <c r="G42" i="1"/>
  <c r="G45" i="1" s="1"/>
  <c r="F46" i="1" s="1"/>
  <c r="J37" i="1"/>
  <c r="I37" i="1"/>
  <c r="H38" i="1" s="1"/>
  <c r="H37" i="1"/>
  <c r="F37" i="1"/>
  <c r="D37" i="1"/>
  <c r="D38" i="1" s="1"/>
  <c r="K36" i="1"/>
  <c r="I36" i="1"/>
  <c r="G36" i="1"/>
  <c r="G37" i="1" s="1"/>
  <c r="F38" i="1" s="1"/>
  <c r="E36" i="1"/>
  <c r="K35" i="1"/>
  <c r="K37" i="1" s="1"/>
  <c r="I35" i="1"/>
  <c r="E35" i="1"/>
  <c r="E37" i="1" s="1"/>
  <c r="D31" i="6" l="1"/>
  <c r="S39" i="6"/>
  <c r="D63" i="1"/>
  <c r="H63" i="1"/>
  <c r="J38" i="1"/>
  <c r="D54" i="1"/>
  <c r="J63" i="1"/>
  <c r="P19" i="6"/>
  <c r="T20" i="6"/>
  <c r="O22" i="6"/>
  <c r="O23" i="6" s="1"/>
  <c r="P22" i="6"/>
  <c r="R21" i="6"/>
  <c r="R22" i="6" s="1"/>
  <c r="Q23" i="6" s="1"/>
  <c r="T21" i="6"/>
  <c r="T22" i="6" s="1"/>
  <c r="S23" i="6" s="1"/>
  <c r="P13" i="6"/>
  <c r="P14" i="6"/>
  <c r="R14" i="6"/>
  <c r="T14" i="6"/>
  <c r="P4" i="6"/>
  <c r="V4" i="6"/>
  <c r="V5" i="6"/>
  <c r="P6" i="6"/>
  <c r="P7" i="6" s="1"/>
  <c r="O8" i="6" s="1"/>
  <c r="R6" i="6"/>
  <c r="T6" i="6"/>
  <c r="V6" i="6"/>
  <c r="E19" i="6"/>
  <c r="E22" i="6" s="1"/>
  <c r="D23" i="6" s="1"/>
  <c r="I20" i="6"/>
  <c r="I21" i="6"/>
  <c r="E4" i="6"/>
  <c r="I6" i="6"/>
  <c r="E12" i="6"/>
  <c r="I12" i="6"/>
  <c r="I13" i="6"/>
  <c r="E13" i="6"/>
  <c r="E15" i="6" s="1"/>
  <c r="D16" i="6" s="1"/>
  <c r="E14" i="6"/>
  <c r="I14" i="6"/>
  <c r="U22" i="6"/>
  <c r="U23" i="6" s="1"/>
  <c r="V22" i="6"/>
  <c r="S22" i="6"/>
  <c r="Q22" i="6"/>
  <c r="J22" i="6"/>
  <c r="J23" i="6" s="1"/>
  <c r="K22" i="6"/>
  <c r="H22" i="6"/>
  <c r="H23" i="6" s="1"/>
  <c r="I22" i="6"/>
  <c r="F22" i="6"/>
  <c r="G22" i="6"/>
  <c r="F23" i="6"/>
  <c r="D22" i="6"/>
  <c r="U15" i="6"/>
  <c r="U16" i="6" s="1"/>
  <c r="V15" i="6"/>
  <c r="S15" i="6"/>
  <c r="S16" i="6" s="1"/>
  <c r="T15" i="6"/>
  <c r="Q15" i="6"/>
  <c r="R15" i="6"/>
  <c r="Q16" i="6"/>
  <c r="O15" i="6"/>
  <c r="P15" i="6"/>
  <c r="O16" i="6"/>
  <c r="J15" i="6"/>
  <c r="J16" i="6" s="1"/>
  <c r="K15" i="6"/>
  <c r="H15" i="6"/>
  <c r="H16" i="6" s="1"/>
  <c r="I15" i="6"/>
  <c r="F15" i="6"/>
  <c r="G15" i="6"/>
  <c r="F16" i="6"/>
  <c r="D15" i="6"/>
  <c r="U7" i="6"/>
  <c r="U8" i="6" s="1"/>
  <c r="V7" i="6"/>
  <c r="S7" i="6"/>
  <c r="S8" i="6" s="1"/>
  <c r="T7" i="6"/>
  <c r="Q7" i="6"/>
  <c r="R7" i="6"/>
  <c r="Q8" i="6"/>
  <c r="O7" i="6"/>
  <c r="J7" i="6"/>
  <c r="J8" i="6" s="1"/>
  <c r="K7" i="6"/>
  <c r="H7" i="6"/>
  <c r="H8" i="6" s="1"/>
  <c r="I7" i="6"/>
  <c r="F7" i="6"/>
  <c r="G7" i="6"/>
  <c r="F8" i="6"/>
  <c r="D7" i="6"/>
  <c r="E7" i="6"/>
  <c r="D8" i="6"/>
  <c r="P4" i="1"/>
  <c r="P7" i="1" s="1"/>
  <c r="P5" i="1"/>
  <c r="P6" i="1"/>
  <c r="U7" i="1"/>
  <c r="U8" i="1" s="1"/>
  <c r="V7" i="1"/>
  <c r="S7" i="1"/>
  <c r="T7" i="1"/>
  <c r="S8" i="1"/>
  <c r="Q7" i="1"/>
  <c r="R7" i="1"/>
  <c r="Q8" i="1"/>
  <c r="O7" i="1"/>
  <c r="O8" i="1" s="1"/>
  <c r="P13" i="1"/>
  <c r="P15" i="1" s="1"/>
  <c r="O16" i="1" s="1"/>
  <c r="U15" i="1"/>
  <c r="U16" i="1" s="1"/>
  <c r="V15" i="1"/>
  <c r="S15" i="1"/>
  <c r="S16" i="1" s="1"/>
  <c r="T15" i="1"/>
  <c r="Q15" i="1"/>
  <c r="R15" i="1"/>
  <c r="Q16" i="1"/>
  <c r="O15" i="1"/>
  <c r="P27" i="1"/>
  <c r="P28" i="1"/>
  <c r="U30" i="1"/>
  <c r="V30" i="1"/>
  <c r="U31" i="1"/>
  <c r="S30" i="1"/>
  <c r="T30" i="1"/>
  <c r="S31" i="1"/>
  <c r="Q30" i="1"/>
  <c r="Q31" i="1" s="1"/>
  <c r="R30" i="1"/>
  <c r="O30" i="1"/>
  <c r="O31" i="1" s="1"/>
  <c r="P30" i="1"/>
  <c r="J30" i="1"/>
  <c r="K30" i="1"/>
  <c r="J31" i="1"/>
  <c r="H30" i="1"/>
  <c r="I30" i="1"/>
  <c r="H31" i="1"/>
  <c r="F30" i="1"/>
  <c r="F31" i="1" s="1"/>
  <c r="G30" i="1"/>
  <c r="D30" i="1"/>
  <c r="D31" i="1" s="1"/>
  <c r="E30" i="1"/>
  <c r="G12" i="1"/>
  <c r="H15" i="1"/>
  <c r="H16" i="1" s="1"/>
  <c r="I12" i="1"/>
  <c r="I15" i="1" s="1"/>
  <c r="K13" i="1"/>
  <c r="E14" i="1"/>
  <c r="E15" i="1" s="1"/>
  <c r="G14" i="1"/>
  <c r="I14" i="1"/>
  <c r="K14" i="1"/>
  <c r="P19" i="1"/>
  <c r="P22" i="1" s="1"/>
  <c r="V19" i="1"/>
  <c r="P20" i="1"/>
  <c r="R20" i="1"/>
  <c r="T20" i="1"/>
  <c r="V20" i="1"/>
  <c r="R21" i="1"/>
  <c r="T21" i="1"/>
  <c r="V21" i="1"/>
  <c r="V22" i="1" s="1"/>
  <c r="E19" i="1"/>
  <c r="I19" i="1"/>
  <c r="E20" i="1"/>
  <c r="G20" i="1"/>
  <c r="J22" i="1"/>
  <c r="I21" i="1"/>
  <c r="K21" i="1"/>
  <c r="U22" i="1"/>
  <c r="U23" i="1" s="1"/>
  <c r="S22" i="1"/>
  <c r="T22" i="1"/>
  <c r="S23" i="1" s="1"/>
  <c r="Q22" i="1"/>
  <c r="R22" i="1"/>
  <c r="Q23" i="1"/>
  <c r="O22" i="1"/>
  <c r="I4" i="1"/>
  <c r="G6" i="1"/>
  <c r="I7" i="1"/>
  <c r="K6" i="1"/>
  <c r="K7" i="1" s="1"/>
  <c r="J8" i="1" s="1"/>
  <c r="K22" i="1"/>
  <c r="J23" i="1"/>
  <c r="I22" i="1"/>
  <c r="H22" i="1"/>
  <c r="H23" i="1" s="1"/>
  <c r="G22" i="1"/>
  <c r="F22" i="1"/>
  <c r="F23" i="1" s="1"/>
  <c r="E22" i="1"/>
  <c r="D22" i="1"/>
  <c r="D23" i="1" s="1"/>
  <c r="K15" i="1"/>
  <c r="J15" i="1"/>
  <c r="G15" i="1"/>
  <c r="F15" i="1"/>
  <c r="F16" i="1" s="1"/>
  <c r="D15" i="1"/>
  <c r="E7" i="1"/>
  <c r="F7" i="1"/>
  <c r="G7" i="1"/>
  <c r="F8" i="1" s="1"/>
  <c r="H7" i="1"/>
  <c r="H8" i="1" s="1"/>
  <c r="J7" i="1"/>
  <c r="D7" i="1"/>
  <c r="J16" i="1"/>
  <c r="D8" i="1"/>
  <c r="D16" i="1" l="1"/>
  <c r="O23" i="1"/>
</calcChain>
</file>

<file path=xl/sharedStrings.xml><?xml version="1.0" encoding="utf-8"?>
<sst xmlns="http://schemas.openxmlformats.org/spreadsheetml/2006/main" count="426" uniqueCount="57">
  <si>
    <t xml:space="preserve">19-13235.1 WT </t>
  </si>
  <si>
    <t>TRP63</t>
  </si>
  <si>
    <t>FOXJ1</t>
  </si>
  <si>
    <t>KI67</t>
  </si>
  <si>
    <t>DAPI</t>
  </si>
  <si>
    <t>TRP73</t>
  </si>
  <si>
    <t>Total</t>
  </si>
  <si>
    <t>%</t>
  </si>
  <si>
    <t xml:space="preserve">19-13235.6 S21 HET </t>
  </si>
  <si>
    <t>400um box starting from first branch. Only Medial side</t>
  </si>
  <si>
    <t>* not a branch. 300 um from top of image</t>
  </si>
  <si>
    <t>19-13235.4 S21 KO</t>
  </si>
  <si>
    <t>19-13235.5 S21 KO</t>
  </si>
  <si>
    <t>19280.7 S21 KO</t>
  </si>
  <si>
    <t>19280.5 S21 KO</t>
  </si>
  <si>
    <t>19280.4 S21 HET</t>
  </si>
  <si>
    <t>19280.5 S21 HET</t>
  </si>
  <si>
    <t>3/4</t>
  </si>
  <si>
    <t xml:space="preserve">19-13235.8 WT </t>
  </si>
  <si>
    <t xml:space="preserve">19-13235.3 S21 HET </t>
  </si>
  <si>
    <t>19-13227.4 WT</t>
  </si>
  <si>
    <t>19-13227.1 S2het</t>
  </si>
  <si>
    <t>19-13227.5 WT</t>
  </si>
  <si>
    <t>19-13227.3 S2het</t>
  </si>
  <si>
    <t>19-13227.7 S2het</t>
  </si>
  <si>
    <t>S2Cre litter E14.5</t>
  </si>
  <si>
    <t>19-13843.4 WT</t>
  </si>
  <si>
    <t>19-13834.6 S2het</t>
  </si>
  <si>
    <t>19-13843.5 S2het</t>
  </si>
  <si>
    <t>19-13843.7 WT</t>
  </si>
  <si>
    <t>19-13235.7 WT</t>
  </si>
  <si>
    <t>19-13235.2 WT</t>
  </si>
  <si>
    <t>Section</t>
  </si>
  <si>
    <t>S21 KO litter E14.5 - Total</t>
  </si>
  <si>
    <t>Whole picture with branch and tracheal rings on the outside</t>
  </si>
  <si>
    <t>WT</t>
  </si>
  <si>
    <t>Mouse Nr.</t>
  </si>
  <si>
    <t>16350-3</t>
  </si>
  <si>
    <t>Section1</t>
  </si>
  <si>
    <t>Section2</t>
  </si>
  <si>
    <t>Section3</t>
  </si>
  <si>
    <t>16355-3</t>
  </si>
  <si>
    <t>16356-3</t>
  </si>
  <si>
    <t xml:space="preserve">S21 HET </t>
  </si>
  <si>
    <t>16355-2</t>
  </si>
  <si>
    <t>16366-5</t>
  </si>
  <si>
    <t>16375-3</t>
  </si>
  <si>
    <t>S21 KO</t>
  </si>
  <si>
    <t>16366-3</t>
  </si>
  <si>
    <t>16366-6</t>
  </si>
  <si>
    <t>16366-4</t>
  </si>
  <si>
    <t>(no staining)</t>
  </si>
  <si>
    <t>S2 HET</t>
  </si>
  <si>
    <t>16350-2</t>
  </si>
  <si>
    <t>16356-2</t>
  </si>
  <si>
    <t>16357-3</t>
  </si>
  <si>
    <t>SCGB1A1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</si>
</sst>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1C5"/>
        <bgColor indexed="64"/>
      </patternFill>
    </fill>
    <fill>
      <patternFill patternType="solid">
        <fgColor rgb="FFFBCB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16" fontId="0" fillId="0" borderId="0" xfId="0" quotePrefix="1" applyNumberFormat="1"/>
    <xf numFmtId="0" fontId="2" fillId="0" borderId="0" xfId="0" applyFont="1"/>
    <xf numFmtId="0" fontId="5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  <xf numFmtId="0" fontId="0" fillId="4" borderId="0" xfId="0" applyFill="1"/>
    <xf numFmtId="0" fontId="0" fillId="0" borderId="1" xfId="0" applyBorder="1"/>
    <xf numFmtId="0" fontId="0" fillId="0" borderId="2" xfId="0" applyBorder="1"/>
    <xf numFmtId="0" fontId="1" fillId="2" borderId="3" xfId="0" applyFont="1" applyFill="1" applyBorder="1"/>
    <xf numFmtId="0" fontId="6" fillId="0" borderId="0" xfId="0" applyFont="1"/>
    <xf numFmtId="0" fontId="6" fillId="5" borderId="0" xfId="0" applyFont="1" applyFill="1"/>
    <xf numFmtId="0" fontId="6" fillId="6" borderId="0" xfId="0" applyFont="1" applyFill="1"/>
    <xf numFmtId="0" fontId="6" fillId="7" borderId="0" xfId="0" applyFont="1" applyFill="1"/>
    <xf numFmtId="0" fontId="6" fillId="7" borderId="4" xfId="0" applyFont="1" applyFill="1" applyBorder="1"/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7" borderId="2" xfId="0" applyFill="1" applyBorder="1" applyAlignment="1">
      <alignment horizontal="center"/>
    </xf>
    <xf numFmtId="0" fontId="7" fillId="0" borderId="0" xfId="0" applyFont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7" borderId="2" xfId="0" applyFill="1" applyBorder="1"/>
    <xf numFmtId="0" fontId="8" fillId="0" borderId="0" xfId="0" applyFont="1"/>
    <xf numFmtId="0" fontId="9" fillId="0" borderId="1" xfId="0" applyFont="1" applyBorder="1"/>
    <xf numFmtId="0" fontId="6" fillId="5" borderId="1" xfId="0" applyFont="1" applyFill="1" applyBorder="1"/>
    <xf numFmtId="0" fontId="6" fillId="6" borderId="1" xfId="0" applyFont="1" applyFill="1" applyBorder="1"/>
    <xf numFmtId="0" fontId="6" fillId="7" borderId="1" xfId="0" applyFont="1" applyFill="1" applyBorder="1"/>
    <xf numFmtId="0" fontId="6" fillId="7" borderId="5" xfId="0" applyFont="1" applyFill="1" applyBorder="1"/>
    <xf numFmtId="0" fontId="9" fillId="0" borderId="6" xfId="0" applyFont="1" applyBorder="1"/>
    <xf numFmtId="0" fontId="0" fillId="0" borderId="7" xfId="0" applyBorder="1"/>
    <xf numFmtId="0" fontId="0" fillId="0" borderId="3" xfId="0" applyBorder="1"/>
    <xf numFmtId="0" fontId="0" fillId="5" borderId="7" xfId="0" applyFill="1" applyBorder="1"/>
    <xf numFmtId="0" fontId="0" fillId="6" borderId="7" xfId="0" applyFill="1" applyBorder="1"/>
    <xf numFmtId="0" fontId="0" fillId="7" borderId="7" xfId="0" applyFill="1" applyBorder="1"/>
    <xf numFmtId="0" fontId="0" fillId="7" borderId="4" xfId="0" applyFill="1" applyBorder="1"/>
    <xf numFmtId="0" fontId="0" fillId="0" borderId="8" xfId="0" applyBorder="1"/>
    <xf numFmtId="0" fontId="0" fillId="0" borderId="6" xfId="0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7" borderId="5" xfId="0" applyFill="1" applyBorder="1"/>
    <xf numFmtId="0" fontId="1" fillId="3" borderId="3" xfId="0" applyFont="1" applyFill="1" applyBorder="1"/>
    <xf numFmtId="0" fontId="6" fillId="0" borderId="7" xfId="0" applyFont="1" applyBorder="1"/>
    <xf numFmtId="0" fontId="6" fillId="5" borderId="7" xfId="0" applyFont="1" applyFill="1" applyBorder="1"/>
    <xf numFmtId="0" fontId="6" fillId="6" borderId="7" xfId="0" applyFont="1" applyFill="1" applyBorder="1"/>
    <xf numFmtId="0" fontId="5" fillId="0" borderId="8" xfId="0" applyFont="1" applyBorder="1"/>
    <xf numFmtId="0" fontId="1" fillId="4" borderId="3" xfId="0" applyFont="1" applyFill="1" applyBorder="1"/>
    <xf numFmtId="0" fontId="7" fillId="0" borderId="7" xfId="0" applyFont="1" applyBorder="1"/>
    <xf numFmtId="0" fontId="1" fillId="5" borderId="3" xfId="0" applyFont="1" applyFill="1" applyBorder="1"/>
    <xf numFmtId="0" fontId="0" fillId="0" borderId="0" xfId="0" applyFill="1" applyBorder="1" applyAlignment="1"/>
    <xf numFmtId="0" fontId="0" fillId="0" borderId="0" xfId="0" applyBorder="1"/>
    <xf numFmtId="0" fontId="6" fillId="7" borderId="7" xfId="0" applyFont="1" applyFill="1" applyBorder="1"/>
    <xf numFmtId="0" fontId="1" fillId="0" borderId="0" xfId="0" applyFont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3"/>
  <sheetViews>
    <sheetView zoomScale="56" workbookViewId="0">
      <selection activeCell="C11" sqref="C11"/>
    </sheetView>
  </sheetViews>
  <sheetFormatPr defaultColWidth="8.85546875" defaultRowHeight="15" x14ac:dyDescent="0.25"/>
  <cols>
    <col min="2" max="2" width="18.140625" bestFit="1" customWidth="1"/>
    <col min="13" max="13" width="17" bestFit="1" customWidth="1"/>
  </cols>
  <sheetData>
    <row r="1" spans="1:22" x14ac:dyDescent="0.25">
      <c r="A1" t="s">
        <v>10</v>
      </c>
    </row>
    <row r="2" spans="1:22" x14ac:dyDescent="0.25">
      <c r="A2" t="s">
        <v>9</v>
      </c>
    </row>
    <row r="3" spans="1:22" x14ac:dyDescent="0.25">
      <c r="B3" s="5" t="s">
        <v>30</v>
      </c>
      <c r="C3" s="4" t="s">
        <v>32</v>
      </c>
      <c r="D3" t="s">
        <v>1</v>
      </c>
      <c r="E3" t="s">
        <v>4</v>
      </c>
      <c r="F3" t="s">
        <v>2</v>
      </c>
      <c r="G3" t="s">
        <v>4</v>
      </c>
      <c r="H3" t="s">
        <v>3</v>
      </c>
      <c r="I3" t="s">
        <v>4</v>
      </c>
      <c r="J3" t="s">
        <v>5</v>
      </c>
      <c r="K3" t="s">
        <v>4</v>
      </c>
      <c r="M3" s="5" t="s">
        <v>31</v>
      </c>
      <c r="N3" s="4" t="s">
        <v>32</v>
      </c>
      <c r="O3" t="s">
        <v>1</v>
      </c>
      <c r="P3" t="s">
        <v>4</v>
      </c>
      <c r="Q3" t="s">
        <v>2</v>
      </c>
      <c r="R3" t="s">
        <v>4</v>
      </c>
      <c r="S3" t="s">
        <v>3</v>
      </c>
      <c r="T3" t="s">
        <v>4</v>
      </c>
      <c r="U3" t="s">
        <v>5</v>
      </c>
      <c r="V3" t="s">
        <v>4</v>
      </c>
    </row>
    <row r="4" spans="1:22" x14ac:dyDescent="0.25">
      <c r="C4">
        <v>1</v>
      </c>
      <c r="D4">
        <v>56</v>
      </c>
      <c r="E4">
        <v>121</v>
      </c>
      <c r="F4">
        <v>1</v>
      </c>
      <c r="G4">
        <v>55</v>
      </c>
      <c r="H4">
        <v>87</v>
      </c>
      <c r="I4">
        <f>114+87</f>
        <v>201</v>
      </c>
      <c r="J4">
        <v>4</v>
      </c>
      <c r="K4">
        <v>82</v>
      </c>
      <c r="N4">
        <v>1</v>
      </c>
      <c r="O4">
        <v>108</v>
      </c>
      <c r="P4">
        <f>108+177</f>
        <v>285</v>
      </c>
      <c r="Q4">
        <v>37</v>
      </c>
      <c r="R4">
        <v>265</v>
      </c>
      <c r="S4">
        <v>100</v>
      </c>
      <c r="T4">
        <v>269</v>
      </c>
      <c r="U4">
        <v>63</v>
      </c>
      <c r="V4">
        <v>265</v>
      </c>
    </row>
    <row r="5" spans="1:22" x14ac:dyDescent="0.25">
      <c r="C5">
        <v>2</v>
      </c>
      <c r="D5">
        <v>60</v>
      </c>
      <c r="E5">
        <v>179</v>
      </c>
      <c r="F5">
        <v>18</v>
      </c>
      <c r="G5">
        <v>245</v>
      </c>
      <c r="H5">
        <v>62</v>
      </c>
      <c r="I5">
        <v>149</v>
      </c>
      <c r="J5">
        <v>13</v>
      </c>
      <c r="K5">
        <v>135</v>
      </c>
      <c r="N5">
        <v>2</v>
      </c>
      <c r="O5">
        <v>66</v>
      </c>
      <c r="P5">
        <f>66+96</f>
        <v>162</v>
      </c>
      <c r="Q5">
        <v>14</v>
      </c>
      <c r="R5">
        <v>132</v>
      </c>
      <c r="S5">
        <v>58</v>
      </c>
      <c r="T5">
        <v>109</v>
      </c>
      <c r="U5">
        <v>11</v>
      </c>
      <c r="V5">
        <v>98</v>
      </c>
    </row>
    <row r="6" spans="1:22" x14ac:dyDescent="0.25">
      <c r="C6">
        <v>3</v>
      </c>
      <c r="D6">
        <v>154</v>
      </c>
      <c r="E6">
        <v>438</v>
      </c>
      <c r="F6">
        <v>24</v>
      </c>
      <c r="G6">
        <f>24+271</f>
        <v>295</v>
      </c>
      <c r="H6">
        <v>68</v>
      </c>
      <c r="I6">
        <v>261</v>
      </c>
      <c r="J6">
        <v>17</v>
      </c>
      <c r="K6">
        <f>17+185</f>
        <v>202</v>
      </c>
      <c r="N6">
        <v>3</v>
      </c>
      <c r="O6">
        <v>39</v>
      </c>
      <c r="P6">
        <f>39+97</f>
        <v>136</v>
      </c>
      <c r="Q6">
        <v>25</v>
      </c>
      <c r="R6">
        <v>226</v>
      </c>
      <c r="S6">
        <v>98</v>
      </c>
      <c r="T6">
        <v>235</v>
      </c>
      <c r="U6">
        <v>21</v>
      </c>
      <c r="V6">
        <v>238</v>
      </c>
    </row>
    <row r="7" spans="1:22" x14ac:dyDescent="0.25">
      <c r="C7" t="s">
        <v>6</v>
      </c>
      <c r="D7">
        <f>SUM(D4:D6)</f>
        <v>270</v>
      </c>
      <c r="E7">
        <f t="shared" ref="E7:K7" si="0">SUM(E4:E6)</f>
        <v>738</v>
      </c>
      <c r="F7">
        <f t="shared" si="0"/>
        <v>43</v>
      </c>
      <c r="G7">
        <f t="shared" si="0"/>
        <v>595</v>
      </c>
      <c r="H7">
        <f t="shared" si="0"/>
        <v>217</v>
      </c>
      <c r="I7">
        <f t="shared" si="0"/>
        <v>611</v>
      </c>
      <c r="J7">
        <f t="shared" si="0"/>
        <v>34</v>
      </c>
      <c r="K7">
        <f t="shared" si="0"/>
        <v>419</v>
      </c>
      <c r="N7" t="s">
        <v>6</v>
      </c>
      <c r="O7">
        <f>SUM(O4:O6)</f>
        <v>213</v>
      </c>
      <c r="P7">
        <f t="shared" ref="P7:V7" si="1">SUM(P4:P6)</f>
        <v>583</v>
      </c>
      <c r="Q7">
        <f t="shared" si="1"/>
        <v>76</v>
      </c>
      <c r="R7">
        <f t="shared" si="1"/>
        <v>623</v>
      </c>
      <c r="S7">
        <f t="shared" si="1"/>
        <v>256</v>
      </c>
      <c r="T7">
        <f t="shared" si="1"/>
        <v>613</v>
      </c>
      <c r="U7">
        <f t="shared" si="1"/>
        <v>95</v>
      </c>
      <c r="V7">
        <f t="shared" si="1"/>
        <v>601</v>
      </c>
    </row>
    <row r="8" spans="1:22" x14ac:dyDescent="0.25">
      <c r="C8" t="s">
        <v>7</v>
      </c>
      <c r="D8">
        <f>(D7/E7)*100</f>
        <v>36.585365853658537</v>
      </c>
      <c r="F8">
        <f>(F7/G7)*100</f>
        <v>7.226890756302522</v>
      </c>
      <c r="H8">
        <f>(H7/I7)*100</f>
        <v>35.51554828150573</v>
      </c>
      <c r="J8">
        <f>(J7/K7)*100</f>
        <v>8.1145584725536999</v>
      </c>
      <c r="N8" t="s">
        <v>7</v>
      </c>
      <c r="O8">
        <f>(O7/P7)*100</f>
        <v>36.535162950257288</v>
      </c>
      <c r="Q8">
        <f>(Q7/R7)*100</f>
        <v>12.199036918138042</v>
      </c>
      <c r="S8">
        <f>(S7/T7)*100</f>
        <v>41.761827079934747</v>
      </c>
      <c r="U8">
        <f>(U7/V7)*100</f>
        <v>15.806988352745424</v>
      </c>
    </row>
    <row r="11" spans="1:22" x14ac:dyDescent="0.25">
      <c r="B11" s="7" t="s">
        <v>8</v>
      </c>
      <c r="C11" s="4" t="s">
        <v>32</v>
      </c>
      <c r="D11" t="s">
        <v>1</v>
      </c>
      <c r="E11" t="s">
        <v>4</v>
      </c>
      <c r="F11" t="s">
        <v>2</v>
      </c>
      <c r="G11" t="s">
        <v>4</v>
      </c>
      <c r="H11" t="s">
        <v>3</v>
      </c>
      <c r="I11" t="s">
        <v>4</v>
      </c>
      <c r="J11" t="s">
        <v>5</v>
      </c>
      <c r="K11" t="s">
        <v>4</v>
      </c>
      <c r="M11" s="7" t="s">
        <v>19</v>
      </c>
      <c r="N11" s="4" t="s">
        <v>32</v>
      </c>
      <c r="O11" t="s">
        <v>1</v>
      </c>
      <c r="P11" t="s">
        <v>4</v>
      </c>
      <c r="Q11" t="s">
        <v>2</v>
      </c>
      <c r="R11" t="s">
        <v>4</v>
      </c>
      <c r="S11" t="s">
        <v>3</v>
      </c>
      <c r="T11" t="s">
        <v>4</v>
      </c>
      <c r="U11" t="s">
        <v>5</v>
      </c>
      <c r="V11" t="s">
        <v>4</v>
      </c>
    </row>
    <row r="12" spans="1:22" x14ac:dyDescent="0.25">
      <c r="C12">
        <v>1</v>
      </c>
      <c r="D12">
        <v>169</v>
      </c>
      <c r="E12">
        <v>351</v>
      </c>
      <c r="F12">
        <v>68</v>
      </c>
      <c r="G12">
        <f>68+228</f>
        <v>296</v>
      </c>
      <c r="H12">
        <v>177</v>
      </c>
      <c r="I12">
        <f>177+195</f>
        <v>372</v>
      </c>
      <c r="J12">
        <v>91</v>
      </c>
      <c r="K12">
        <v>394</v>
      </c>
      <c r="N12">
        <v>1</v>
      </c>
      <c r="O12">
        <v>62</v>
      </c>
      <c r="P12">
        <v>206</v>
      </c>
      <c r="Q12">
        <v>20</v>
      </c>
      <c r="R12">
        <v>176</v>
      </c>
      <c r="S12">
        <v>9</v>
      </c>
      <c r="T12">
        <v>39</v>
      </c>
      <c r="U12">
        <v>20</v>
      </c>
      <c r="V12">
        <v>114</v>
      </c>
    </row>
    <row r="13" spans="1:22" x14ac:dyDescent="0.25">
      <c r="C13">
        <v>2</v>
      </c>
      <c r="D13">
        <v>153</v>
      </c>
      <c r="E13">
        <v>389</v>
      </c>
      <c r="F13">
        <v>44</v>
      </c>
      <c r="G13">
        <v>257</v>
      </c>
      <c r="H13">
        <v>99</v>
      </c>
      <c r="I13">
        <v>270</v>
      </c>
      <c r="J13">
        <v>39</v>
      </c>
      <c r="K13">
        <f>39+138</f>
        <v>177</v>
      </c>
      <c r="N13">
        <v>2</v>
      </c>
      <c r="O13">
        <v>114</v>
      </c>
      <c r="P13">
        <f>114+164</f>
        <v>278</v>
      </c>
      <c r="Q13">
        <v>47</v>
      </c>
      <c r="R13">
        <v>316</v>
      </c>
      <c r="S13">
        <v>129</v>
      </c>
      <c r="T13">
        <v>301</v>
      </c>
      <c r="U13">
        <v>33</v>
      </c>
      <c r="V13">
        <v>257</v>
      </c>
    </row>
    <row r="14" spans="1:22" x14ac:dyDescent="0.25">
      <c r="C14">
        <v>3</v>
      </c>
      <c r="D14">
        <v>95</v>
      </c>
      <c r="E14">
        <f>95+115</f>
        <v>210</v>
      </c>
      <c r="F14">
        <v>38</v>
      </c>
      <c r="G14">
        <f>38+190</f>
        <v>228</v>
      </c>
      <c r="H14">
        <v>115</v>
      </c>
      <c r="I14">
        <f>115+131</f>
        <v>246</v>
      </c>
      <c r="J14">
        <v>91</v>
      </c>
      <c r="K14">
        <f>91+259</f>
        <v>350</v>
      </c>
      <c r="N14">
        <v>3</v>
      </c>
      <c r="O14">
        <v>117</v>
      </c>
      <c r="P14">
        <v>288</v>
      </c>
      <c r="Q14">
        <v>34</v>
      </c>
      <c r="R14">
        <v>204</v>
      </c>
      <c r="S14">
        <v>108</v>
      </c>
      <c r="T14">
        <v>294</v>
      </c>
      <c r="U14">
        <v>38</v>
      </c>
      <c r="V14">
        <v>199</v>
      </c>
    </row>
    <row r="15" spans="1:22" x14ac:dyDescent="0.25">
      <c r="C15" t="s">
        <v>6</v>
      </c>
      <c r="D15">
        <f>SUM(D12:D14)</f>
        <v>417</v>
      </c>
      <c r="E15">
        <f t="shared" ref="E15" si="2">SUM(E12:E14)</f>
        <v>950</v>
      </c>
      <c r="F15">
        <f>SUM(F12:F14)</f>
        <v>150</v>
      </c>
      <c r="G15">
        <f>SUM(G12:G14)</f>
        <v>781</v>
      </c>
      <c r="H15">
        <f>SUM(H12:H14)</f>
        <v>391</v>
      </c>
      <c r="I15">
        <f>SUM(I12:I14)</f>
        <v>888</v>
      </c>
      <c r="J15">
        <f t="shared" ref="J15" si="3">SUM(J12:J14)</f>
        <v>221</v>
      </c>
      <c r="K15">
        <f t="shared" ref="K15" si="4">SUM(K12:K14)</f>
        <v>921</v>
      </c>
      <c r="N15" t="s">
        <v>6</v>
      </c>
      <c r="O15">
        <f>SUM(O12:O14)</f>
        <v>293</v>
      </c>
      <c r="P15">
        <f t="shared" ref="P15" si="5">SUM(P12:P14)</f>
        <v>772</v>
      </c>
      <c r="Q15">
        <f>SUM(Q12:Q14)</f>
        <v>101</v>
      </c>
      <c r="R15">
        <f>SUM(R12:R14)</f>
        <v>696</v>
      </c>
      <c r="S15">
        <f>SUM(S12:S14)</f>
        <v>246</v>
      </c>
      <c r="T15">
        <f>SUM(T12:T14)</f>
        <v>634</v>
      </c>
      <c r="U15">
        <f t="shared" ref="U15:V15" si="6">SUM(U12:U14)</f>
        <v>91</v>
      </c>
      <c r="V15">
        <f t="shared" si="6"/>
        <v>570</v>
      </c>
    </row>
    <row r="16" spans="1:22" x14ac:dyDescent="0.25">
      <c r="C16" t="s">
        <v>7</v>
      </c>
      <c r="D16">
        <f>(D15/E15)*100</f>
        <v>43.894736842105267</v>
      </c>
      <c r="F16">
        <f>(F15/G15)*100</f>
        <v>19.206145966709347</v>
      </c>
      <c r="H16">
        <f>(H15/I15)*100</f>
        <v>44.031531531531535</v>
      </c>
      <c r="J16">
        <f>(J15/K15)*100</f>
        <v>23.995656894679694</v>
      </c>
      <c r="N16" t="s">
        <v>7</v>
      </c>
      <c r="O16">
        <f>(O15/P15)*100</f>
        <v>37.953367875647672</v>
      </c>
      <c r="Q16">
        <f>(Q15/R15)*100</f>
        <v>14.511494252873563</v>
      </c>
      <c r="S16">
        <f>(S15/T15)*100</f>
        <v>38.801261829652994</v>
      </c>
      <c r="U16">
        <f>(U15/V15)*100</f>
        <v>15.964912280701753</v>
      </c>
    </row>
    <row r="18" spans="2:22" x14ac:dyDescent="0.25">
      <c r="B18" s="9" t="s">
        <v>11</v>
      </c>
      <c r="C18" s="4" t="s">
        <v>32</v>
      </c>
      <c r="D18" t="s">
        <v>1</v>
      </c>
      <c r="E18" t="s">
        <v>4</v>
      </c>
      <c r="F18" t="s">
        <v>2</v>
      </c>
      <c r="G18" t="s">
        <v>4</v>
      </c>
      <c r="H18" t="s">
        <v>3</v>
      </c>
      <c r="I18" t="s">
        <v>4</v>
      </c>
      <c r="J18" t="s">
        <v>5</v>
      </c>
      <c r="K18" t="s">
        <v>4</v>
      </c>
      <c r="M18" s="9" t="s">
        <v>12</v>
      </c>
      <c r="N18" s="4" t="s">
        <v>32</v>
      </c>
      <c r="O18" t="s">
        <v>1</v>
      </c>
      <c r="P18" t="s">
        <v>4</v>
      </c>
      <c r="Q18" t="s">
        <v>2</v>
      </c>
      <c r="R18" t="s">
        <v>4</v>
      </c>
      <c r="S18" t="s">
        <v>3</v>
      </c>
      <c r="T18" t="s">
        <v>4</v>
      </c>
      <c r="U18" t="s">
        <v>5</v>
      </c>
      <c r="V18" t="s">
        <v>4</v>
      </c>
    </row>
    <row r="19" spans="2:22" x14ac:dyDescent="0.25">
      <c r="C19">
        <v>1</v>
      </c>
      <c r="D19">
        <v>219</v>
      </c>
      <c r="E19">
        <f>219+173</f>
        <v>392</v>
      </c>
      <c r="F19">
        <v>85</v>
      </c>
      <c r="G19">
        <v>263</v>
      </c>
      <c r="H19">
        <v>132</v>
      </c>
      <c r="I19">
        <f>132+181</f>
        <v>313</v>
      </c>
      <c r="J19">
        <v>87</v>
      </c>
      <c r="K19">
        <v>296</v>
      </c>
      <c r="N19">
        <v>1</v>
      </c>
      <c r="O19">
        <v>90</v>
      </c>
      <c r="P19">
        <f>90+64</f>
        <v>154</v>
      </c>
      <c r="Q19">
        <v>73</v>
      </c>
      <c r="R19">
        <v>235</v>
      </c>
      <c r="S19">
        <v>80</v>
      </c>
      <c r="T19">
        <v>182</v>
      </c>
      <c r="U19">
        <v>69</v>
      </c>
      <c r="V19">
        <f>137+69</f>
        <v>206</v>
      </c>
    </row>
    <row r="20" spans="2:22" x14ac:dyDescent="0.25">
      <c r="C20">
        <v>2</v>
      </c>
      <c r="D20">
        <v>137</v>
      </c>
      <c r="E20">
        <f>137+145</f>
        <v>282</v>
      </c>
      <c r="F20">
        <v>95</v>
      </c>
      <c r="G20">
        <f>95+176</f>
        <v>271</v>
      </c>
      <c r="H20">
        <v>109</v>
      </c>
      <c r="I20">
        <v>256</v>
      </c>
      <c r="J20">
        <v>88</v>
      </c>
      <c r="K20">
        <v>251</v>
      </c>
      <c r="N20">
        <v>2</v>
      </c>
      <c r="O20">
        <v>104</v>
      </c>
      <c r="P20">
        <f>104+111</f>
        <v>215</v>
      </c>
      <c r="Q20">
        <v>63</v>
      </c>
      <c r="R20">
        <f>63+135</f>
        <v>198</v>
      </c>
      <c r="S20">
        <v>93</v>
      </c>
      <c r="T20">
        <f>93+119</f>
        <v>212</v>
      </c>
      <c r="U20">
        <v>73</v>
      </c>
      <c r="V20">
        <f>73+143</f>
        <v>216</v>
      </c>
    </row>
    <row r="21" spans="2:22" x14ac:dyDescent="0.25">
      <c r="C21">
        <v>3</v>
      </c>
      <c r="D21">
        <v>165</v>
      </c>
      <c r="E21">
        <v>348</v>
      </c>
      <c r="F21">
        <v>133</v>
      </c>
      <c r="G21">
        <v>333</v>
      </c>
      <c r="H21">
        <v>92</v>
      </c>
      <c r="I21">
        <f>92+104</f>
        <v>196</v>
      </c>
      <c r="J21">
        <v>59</v>
      </c>
      <c r="K21">
        <f>59+96</f>
        <v>155</v>
      </c>
      <c r="N21">
        <v>3</v>
      </c>
      <c r="Q21">
        <v>94</v>
      </c>
      <c r="R21">
        <f>94+167</f>
        <v>261</v>
      </c>
      <c r="S21">
        <v>114</v>
      </c>
      <c r="T21">
        <f>114+96</f>
        <v>210</v>
      </c>
      <c r="U21">
        <v>66</v>
      </c>
      <c r="V21">
        <f>66+121</f>
        <v>187</v>
      </c>
    </row>
    <row r="22" spans="2:22" x14ac:dyDescent="0.25">
      <c r="C22" t="s">
        <v>6</v>
      </c>
      <c r="D22">
        <f>SUM(D19:D21)</f>
        <v>521</v>
      </c>
      <c r="E22">
        <f t="shared" ref="E22" si="7">SUM(E19:E21)</f>
        <v>1022</v>
      </c>
      <c r="F22">
        <f t="shared" ref="F22" si="8">SUM(F19:F21)</f>
        <v>313</v>
      </c>
      <c r="G22">
        <f t="shared" ref="G22" si="9">SUM(G19:G21)</f>
        <v>867</v>
      </c>
      <c r="H22">
        <f t="shared" ref="H22" si="10">SUM(H19:H21)</f>
        <v>333</v>
      </c>
      <c r="I22">
        <f t="shared" ref="I22" si="11">SUM(I19:I21)</f>
        <v>765</v>
      </c>
      <c r="J22">
        <f>SUM(J19:J21)</f>
        <v>234</v>
      </c>
      <c r="K22">
        <f>SUM(K19:K21)</f>
        <v>702</v>
      </c>
      <c r="N22" t="s">
        <v>6</v>
      </c>
      <c r="O22">
        <f>SUM(O19:O21)</f>
        <v>194</v>
      </c>
      <c r="P22">
        <f t="shared" ref="P22:V22" si="12">SUM(P19:P21)</f>
        <v>369</v>
      </c>
      <c r="Q22">
        <f t="shared" si="12"/>
        <v>230</v>
      </c>
      <c r="R22">
        <f t="shared" si="12"/>
        <v>694</v>
      </c>
      <c r="S22">
        <f t="shared" si="12"/>
        <v>287</v>
      </c>
      <c r="T22">
        <f t="shared" si="12"/>
        <v>604</v>
      </c>
      <c r="U22">
        <f t="shared" si="12"/>
        <v>208</v>
      </c>
      <c r="V22">
        <f t="shared" si="12"/>
        <v>609</v>
      </c>
    </row>
    <row r="23" spans="2:22" x14ac:dyDescent="0.25">
      <c r="C23" t="s">
        <v>7</v>
      </c>
      <c r="D23">
        <f>(D22/E22)*100</f>
        <v>50.978473581213315</v>
      </c>
      <c r="F23">
        <f>(F22/G22)*100</f>
        <v>36.101499423298733</v>
      </c>
      <c r="H23">
        <f>(H22/I22)*100</f>
        <v>43.529411764705884</v>
      </c>
      <c r="J23">
        <f>(J22/K22)*100</f>
        <v>33.333333333333329</v>
      </c>
      <c r="N23" t="s">
        <v>7</v>
      </c>
      <c r="O23">
        <f>(O22/P22)*100</f>
        <v>52.574525745257446</v>
      </c>
      <c r="Q23">
        <f>(Q22/R22)*100</f>
        <v>33.141210374639769</v>
      </c>
      <c r="S23">
        <f>(S22/T22)*100</f>
        <v>47.516556291390728</v>
      </c>
      <c r="U23">
        <f>(U22/V22)*100</f>
        <v>34.154351395730707</v>
      </c>
    </row>
    <row r="26" spans="2:22" x14ac:dyDescent="0.25">
      <c r="B26" s="5" t="s">
        <v>0</v>
      </c>
      <c r="C26" s="4" t="s">
        <v>32</v>
      </c>
      <c r="D26" t="s">
        <v>1</v>
      </c>
      <c r="E26" t="s">
        <v>4</v>
      </c>
      <c r="F26" t="s">
        <v>2</v>
      </c>
      <c r="G26" t="s">
        <v>4</v>
      </c>
      <c r="H26" t="s">
        <v>3</v>
      </c>
      <c r="I26" t="s">
        <v>4</v>
      </c>
      <c r="J26" t="s">
        <v>5</v>
      </c>
      <c r="K26" t="s">
        <v>4</v>
      </c>
      <c r="M26" s="5" t="s">
        <v>18</v>
      </c>
      <c r="N26" s="4" t="s">
        <v>32</v>
      </c>
      <c r="O26" t="s">
        <v>1</v>
      </c>
      <c r="P26" t="s">
        <v>4</v>
      </c>
      <c r="Q26" t="s">
        <v>2</v>
      </c>
      <c r="R26" t="s">
        <v>4</v>
      </c>
      <c r="S26" t="s">
        <v>3</v>
      </c>
      <c r="T26" t="s">
        <v>4</v>
      </c>
      <c r="U26" t="s">
        <v>5</v>
      </c>
      <c r="V26" t="s">
        <v>4</v>
      </c>
    </row>
    <row r="27" spans="2:22" x14ac:dyDescent="0.25">
      <c r="C27">
        <v>1</v>
      </c>
      <c r="D27">
        <v>83</v>
      </c>
      <c r="E27">
        <v>261</v>
      </c>
      <c r="F27">
        <v>40</v>
      </c>
      <c r="G27">
        <v>294</v>
      </c>
      <c r="H27">
        <v>67</v>
      </c>
      <c r="I27">
        <v>212</v>
      </c>
      <c r="J27">
        <v>23</v>
      </c>
      <c r="K27">
        <v>211</v>
      </c>
      <c r="N27">
        <v>1</v>
      </c>
      <c r="O27">
        <v>87</v>
      </c>
      <c r="P27">
        <f>87+207</f>
        <v>294</v>
      </c>
      <c r="Q27">
        <v>26</v>
      </c>
      <c r="R27">
        <v>276</v>
      </c>
      <c r="S27">
        <v>81</v>
      </c>
      <c r="T27">
        <v>284</v>
      </c>
      <c r="U27">
        <v>6</v>
      </c>
      <c r="V27">
        <v>186</v>
      </c>
    </row>
    <row r="28" spans="2:22" x14ac:dyDescent="0.25">
      <c r="C28">
        <v>2</v>
      </c>
      <c r="D28">
        <v>85</v>
      </c>
      <c r="E28">
        <v>192</v>
      </c>
      <c r="F28">
        <v>19</v>
      </c>
      <c r="G28">
        <v>172</v>
      </c>
      <c r="H28">
        <v>57</v>
      </c>
      <c r="I28">
        <v>122</v>
      </c>
      <c r="J28">
        <v>14</v>
      </c>
      <c r="K28">
        <v>94</v>
      </c>
      <c r="N28">
        <v>2</v>
      </c>
      <c r="O28">
        <v>72</v>
      </c>
      <c r="P28">
        <f>72+113</f>
        <v>185</v>
      </c>
      <c r="Q28">
        <v>7</v>
      </c>
      <c r="R28">
        <v>160</v>
      </c>
      <c r="S28">
        <v>54</v>
      </c>
      <c r="T28">
        <v>138</v>
      </c>
      <c r="U28">
        <v>23</v>
      </c>
      <c r="V28">
        <v>314</v>
      </c>
    </row>
    <row r="29" spans="2:22" x14ac:dyDescent="0.25">
      <c r="C29">
        <v>3</v>
      </c>
      <c r="D29">
        <v>74</v>
      </c>
      <c r="E29">
        <v>190</v>
      </c>
      <c r="F29">
        <v>26</v>
      </c>
      <c r="G29">
        <v>189</v>
      </c>
      <c r="H29">
        <v>63</v>
      </c>
      <c r="I29">
        <v>140</v>
      </c>
      <c r="J29">
        <v>7</v>
      </c>
      <c r="K29">
        <v>140</v>
      </c>
      <c r="N29">
        <v>3</v>
      </c>
      <c r="O29">
        <v>96</v>
      </c>
      <c r="P29">
        <v>274</v>
      </c>
      <c r="Q29">
        <v>31</v>
      </c>
      <c r="R29">
        <v>289</v>
      </c>
      <c r="S29">
        <v>72</v>
      </c>
      <c r="T29">
        <v>259</v>
      </c>
      <c r="U29">
        <v>37</v>
      </c>
      <c r="V29">
        <v>324</v>
      </c>
    </row>
    <row r="30" spans="2:22" x14ac:dyDescent="0.25">
      <c r="C30" t="s">
        <v>6</v>
      </c>
      <c r="D30">
        <f>SUM(D27:D29)</f>
        <v>242</v>
      </c>
      <c r="E30">
        <f t="shared" ref="E30:J30" si="13">SUM(E27:E29)</f>
        <v>643</v>
      </c>
      <c r="F30">
        <f t="shared" si="13"/>
        <v>85</v>
      </c>
      <c r="G30">
        <f t="shared" si="13"/>
        <v>655</v>
      </c>
      <c r="H30">
        <f t="shared" si="13"/>
        <v>187</v>
      </c>
      <c r="I30">
        <f t="shared" si="13"/>
        <v>474</v>
      </c>
      <c r="J30">
        <f t="shared" si="13"/>
        <v>44</v>
      </c>
      <c r="K30">
        <f>SUM(K27:K29)</f>
        <v>445</v>
      </c>
      <c r="N30" t="s">
        <v>6</v>
      </c>
      <c r="O30">
        <f>SUM(O27:O29)</f>
        <v>255</v>
      </c>
      <c r="P30">
        <f t="shared" ref="P30:U30" si="14">SUM(P27:P29)</f>
        <v>753</v>
      </c>
      <c r="Q30">
        <f t="shared" si="14"/>
        <v>64</v>
      </c>
      <c r="R30">
        <f t="shared" si="14"/>
        <v>725</v>
      </c>
      <c r="S30">
        <f t="shared" si="14"/>
        <v>207</v>
      </c>
      <c r="T30">
        <f t="shared" si="14"/>
        <v>681</v>
      </c>
      <c r="U30">
        <f t="shared" si="14"/>
        <v>66</v>
      </c>
      <c r="V30">
        <f>SUM(V27:V29)</f>
        <v>824</v>
      </c>
    </row>
    <row r="31" spans="2:22" x14ac:dyDescent="0.25">
      <c r="C31" t="s">
        <v>7</v>
      </c>
      <c r="D31">
        <f>(D30/E30)*100</f>
        <v>37.636080870917574</v>
      </c>
      <c r="F31">
        <f>(F30/G30)*100</f>
        <v>12.977099236641221</v>
      </c>
      <c r="H31">
        <f>(H30/I30)*100</f>
        <v>39.451476793248943</v>
      </c>
      <c r="J31">
        <f>(J30/K30)*100</f>
        <v>9.8876404494382015</v>
      </c>
      <c r="N31" t="s">
        <v>7</v>
      </c>
      <c r="O31">
        <f>(O30/P30)*100</f>
        <v>33.864541832669318</v>
      </c>
      <c r="Q31">
        <f>(Q30/R30)*100</f>
        <v>8.8275862068965516</v>
      </c>
      <c r="S31">
        <f>(S30/T30)*100</f>
        <v>30.396475770925107</v>
      </c>
      <c r="U31">
        <f>(U30/V30)*100</f>
        <v>8.009708737864079</v>
      </c>
    </row>
    <row r="33" spans="2:19" x14ac:dyDescent="0.25">
      <c r="B33" s="9" t="s">
        <v>13</v>
      </c>
      <c r="C33" s="4" t="s">
        <v>32</v>
      </c>
      <c r="D33" t="s">
        <v>1</v>
      </c>
      <c r="E33" t="s">
        <v>4</v>
      </c>
      <c r="F33" t="s">
        <v>2</v>
      </c>
      <c r="G33" t="s">
        <v>4</v>
      </c>
      <c r="H33" t="s">
        <v>3</v>
      </c>
      <c r="I33" t="s">
        <v>4</v>
      </c>
      <c r="J33" t="s">
        <v>5</v>
      </c>
      <c r="K33" t="s">
        <v>4</v>
      </c>
    </row>
    <row r="34" spans="2:19" x14ac:dyDescent="0.25">
      <c r="C34">
        <v>1</v>
      </c>
      <c r="D34">
        <v>125</v>
      </c>
      <c r="E34">
        <v>229</v>
      </c>
      <c r="F34">
        <v>43</v>
      </c>
      <c r="G34">
        <v>193</v>
      </c>
      <c r="H34">
        <v>123</v>
      </c>
      <c r="I34">
        <v>266</v>
      </c>
      <c r="J34">
        <v>36</v>
      </c>
      <c r="K34">
        <v>123</v>
      </c>
      <c r="N34" s="59" t="s">
        <v>33</v>
      </c>
      <c r="O34" s="59"/>
      <c r="P34" s="59"/>
      <c r="Q34" s="59"/>
      <c r="R34" s="59"/>
      <c r="S34" s="59"/>
    </row>
    <row r="35" spans="2:19" x14ac:dyDescent="0.25">
      <c r="C35">
        <v>2</v>
      </c>
      <c r="D35">
        <v>171</v>
      </c>
      <c r="E35">
        <f>171+85</f>
        <v>256</v>
      </c>
      <c r="F35">
        <v>40</v>
      </c>
      <c r="G35">
        <v>144</v>
      </c>
      <c r="H35">
        <v>127</v>
      </c>
      <c r="I35">
        <f>127+128</f>
        <v>255</v>
      </c>
      <c r="J35">
        <v>26</v>
      </c>
      <c r="K35">
        <f>26+109</f>
        <v>135</v>
      </c>
      <c r="P35" s="3" t="s">
        <v>1</v>
      </c>
      <c r="Q35" s="3" t="s">
        <v>2</v>
      </c>
      <c r="R35" s="3" t="s">
        <v>3</v>
      </c>
      <c r="S35" s="3" t="s">
        <v>5</v>
      </c>
    </row>
    <row r="36" spans="2:19" x14ac:dyDescent="0.25">
      <c r="C36">
        <v>3</v>
      </c>
      <c r="D36">
        <v>129</v>
      </c>
      <c r="E36">
        <f>129+73</f>
        <v>202</v>
      </c>
      <c r="F36">
        <v>16</v>
      </c>
      <c r="G36">
        <f>99+16</f>
        <v>115</v>
      </c>
      <c r="H36">
        <v>72</v>
      </c>
      <c r="I36">
        <f>72+88</f>
        <v>160</v>
      </c>
      <c r="J36">
        <v>29</v>
      </c>
      <c r="K36">
        <f>29+103</f>
        <v>132</v>
      </c>
      <c r="N36" s="5" t="s">
        <v>30</v>
      </c>
      <c r="O36" s="6"/>
      <c r="P36">
        <v>36.585365853658537</v>
      </c>
      <c r="Q36">
        <v>7.226890756302522</v>
      </c>
      <c r="R36">
        <v>35.51554828150573</v>
      </c>
      <c r="S36">
        <v>8.1145584725536999</v>
      </c>
    </row>
    <row r="37" spans="2:19" x14ac:dyDescent="0.25">
      <c r="C37" t="s">
        <v>6</v>
      </c>
      <c r="D37">
        <f>SUM(D34:D36)</f>
        <v>425</v>
      </c>
      <c r="E37">
        <f t="shared" ref="E37:I37" si="15">SUM(E34:E36)</f>
        <v>687</v>
      </c>
      <c r="F37">
        <f t="shared" si="15"/>
        <v>99</v>
      </c>
      <c r="G37">
        <f t="shared" si="15"/>
        <v>452</v>
      </c>
      <c r="H37">
        <f t="shared" si="15"/>
        <v>322</v>
      </c>
      <c r="I37">
        <f t="shared" si="15"/>
        <v>681</v>
      </c>
      <c r="J37">
        <f>SUM(J34:J36)</f>
        <v>91</v>
      </c>
      <c r="K37">
        <f>SUM(K34:K36)</f>
        <v>390</v>
      </c>
      <c r="N37" s="5" t="s">
        <v>31</v>
      </c>
      <c r="O37" s="6"/>
      <c r="P37">
        <v>36.535162950257288</v>
      </c>
      <c r="Q37">
        <v>12.199036918138042</v>
      </c>
      <c r="R37">
        <v>41.761827079934747</v>
      </c>
      <c r="S37">
        <v>15.806988352745424</v>
      </c>
    </row>
    <row r="38" spans="2:19" x14ac:dyDescent="0.25">
      <c r="C38" t="s">
        <v>7</v>
      </c>
      <c r="D38">
        <f>(D37/E37)*100</f>
        <v>61.863173216885002</v>
      </c>
      <c r="F38">
        <f>(F37/G37)*100</f>
        <v>21.902654867256636</v>
      </c>
      <c r="H38">
        <f>(H37/I37)*100</f>
        <v>47.283406754772393</v>
      </c>
      <c r="J38">
        <f>(J37/K37)*100</f>
        <v>23.333333333333332</v>
      </c>
      <c r="L38" s="1"/>
      <c r="N38" s="5" t="s">
        <v>0</v>
      </c>
      <c r="O38" s="6"/>
      <c r="P38">
        <v>37.636080870917574</v>
      </c>
      <c r="Q38">
        <v>12.977099236641221</v>
      </c>
      <c r="R38">
        <v>39.451476793248943</v>
      </c>
      <c r="S38">
        <v>9.8876404494382015</v>
      </c>
    </row>
    <row r="39" spans="2:19" x14ac:dyDescent="0.25">
      <c r="L39" s="1"/>
      <c r="N39" s="5" t="s">
        <v>18</v>
      </c>
      <c r="O39" s="6"/>
      <c r="P39">
        <v>33.864541832669318</v>
      </c>
      <c r="Q39">
        <v>8.8275862068965516</v>
      </c>
      <c r="R39">
        <v>30.396475770925107</v>
      </c>
      <c r="S39">
        <v>8.009708737864079</v>
      </c>
    </row>
    <row r="40" spans="2:19" x14ac:dyDescent="0.25">
      <c r="L40" s="1"/>
      <c r="N40" s="7" t="s">
        <v>8</v>
      </c>
      <c r="O40" s="8"/>
      <c r="P40">
        <v>43.894736842105267</v>
      </c>
      <c r="Q40">
        <v>19.206145966709347</v>
      </c>
      <c r="R40">
        <v>44.031531531531535</v>
      </c>
      <c r="S40">
        <v>23.995656894679694</v>
      </c>
    </row>
    <row r="41" spans="2:19" x14ac:dyDescent="0.25">
      <c r="B41" s="9" t="s">
        <v>14</v>
      </c>
      <c r="C41" s="4" t="s">
        <v>32</v>
      </c>
      <c r="D41" t="s">
        <v>1</v>
      </c>
      <c r="E41" t="s">
        <v>4</v>
      </c>
      <c r="F41" t="s">
        <v>2</v>
      </c>
      <c r="G41" t="s">
        <v>4</v>
      </c>
      <c r="L41" s="1"/>
      <c r="N41" s="7" t="s">
        <v>19</v>
      </c>
      <c r="O41" s="8"/>
      <c r="P41">
        <v>37.953367875647672</v>
      </c>
      <c r="Q41">
        <v>14.511494252873563</v>
      </c>
      <c r="R41">
        <v>38.801261829652994</v>
      </c>
      <c r="S41">
        <v>15.964912280701753</v>
      </c>
    </row>
    <row r="42" spans="2:19" x14ac:dyDescent="0.25">
      <c r="C42">
        <v>1</v>
      </c>
      <c r="D42">
        <v>153</v>
      </c>
      <c r="E42">
        <v>261</v>
      </c>
      <c r="F42">
        <v>31</v>
      </c>
      <c r="G42">
        <f>31+94</f>
        <v>125</v>
      </c>
      <c r="L42" s="1"/>
      <c r="N42" s="9" t="s">
        <v>11</v>
      </c>
      <c r="O42" s="10"/>
      <c r="P42">
        <v>50.978473581213315</v>
      </c>
      <c r="Q42">
        <v>36.101499423298733</v>
      </c>
      <c r="R42">
        <v>43.529411764705884</v>
      </c>
      <c r="S42">
        <v>33.333333333333329</v>
      </c>
    </row>
    <row r="43" spans="2:19" x14ac:dyDescent="0.25">
      <c r="C43">
        <v>2</v>
      </c>
      <c r="L43" s="1"/>
      <c r="N43" s="9" t="s">
        <v>12</v>
      </c>
      <c r="O43" s="10"/>
      <c r="P43">
        <v>52.574525745257446</v>
      </c>
      <c r="Q43">
        <v>33.141210374639769</v>
      </c>
      <c r="R43">
        <v>47.516556291390728</v>
      </c>
      <c r="S43">
        <v>34.154351395730707</v>
      </c>
    </row>
    <row r="44" spans="2:19" x14ac:dyDescent="0.25">
      <c r="C44">
        <v>3</v>
      </c>
    </row>
    <row r="45" spans="2:19" x14ac:dyDescent="0.25">
      <c r="C45" t="s">
        <v>6</v>
      </c>
      <c r="D45">
        <f>SUM(D42:D44)</f>
        <v>153</v>
      </c>
      <c r="E45">
        <f t="shared" ref="E45:G45" si="16">SUM(E42:E44)</f>
        <v>261</v>
      </c>
      <c r="F45">
        <f t="shared" si="16"/>
        <v>31</v>
      </c>
      <c r="G45">
        <f t="shared" si="16"/>
        <v>125</v>
      </c>
      <c r="N45" s="9" t="s">
        <v>13</v>
      </c>
      <c r="O45" s="10"/>
      <c r="P45">
        <v>61.863173216885002</v>
      </c>
      <c r="Q45">
        <v>21.902654867256636</v>
      </c>
      <c r="R45">
        <v>47.283406754772393</v>
      </c>
      <c r="S45">
        <v>23.333333333333332</v>
      </c>
    </row>
    <row r="46" spans="2:19" x14ac:dyDescent="0.25">
      <c r="C46" t="s">
        <v>7</v>
      </c>
      <c r="D46">
        <f>(D45/E45)*100</f>
        <v>58.620689655172406</v>
      </c>
      <c r="F46">
        <f>(F45/G45)*100</f>
        <v>24.8</v>
      </c>
      <c r="N46" s="9" t="s">
        <v>14</v>
      </c>
      <c r="O46" s="10"/>
      <c r="P46">
        <v>58.620689655172406</v>
      </c>
      <c r="Q46">
        <v>24.8</v>
      </c>
    </row>
    <row r="47" spans="2:19" x14ac:dyDescent="0.25">
      <c r="N47" s="7" t="s">
        <v>15</v>
      </c>
      <c r="O47" s="8"/>
      <c r="P47">
        <v>52.579365079365083</v>
      </c>
      <c r="Q47">
        <v>9.408602150537634</v>
      </c>
      <c r="R47">
        <v>47.034764826175866</v>
      </c>
      <c r="S47">
        <v>7.1748878923766819</v>
      </c>
    </row>
    <row r="48" spans="2:19" x14ac:dyDescent="0.25">
      <c r="N48" s="7" t="s">
        <v>16</v>
      </c>
      <c r="O48" s="8"/>
      <c r="P48">
        <v>46.63636363636364</v>
      </c>
      <c r="Q48">
        <v>13.23185011709602</v>
      </c>
      <c r="R48">
        <v>47.570332480818415</v>
      </c>
      <c r="S48">
        <v>15.285451197053407</v>
      </c>
    </row>
    <row r="49" spans="2:11" x14ac:dyDescent="0.25">
      <c r="B49" s="7" t="s">
        <v>15</v>
      </c>
      <c r="C49" s="4" t="s">
        <v>32</v>
      </c>
      <c r="D49" t="s">
        <v>1</v>
      </c>
      <c r="E49" t="s">
        <v>4</v>
      </c>
      <c r="F49" t="s">
        <v>2</v>
      </c>
      <c r="G49" t="s">
        <v>4</v>
      </c>
      <c r="H49" t="s">
        <v>3</v>
      </c>
      <c r="I49" t="s">
        <v>4</v>
      </c>
      <c r="J49" t="s">
        <v>5</v>
      </c>
      <c r="K49" t="s">
        <v>4</v>
      </c>
    </row>
    <row r="50" spans="2:11" x14ac:dyDescent="0.25">
      <c r="C50">
        <v>1</v>
      </c>
      <c r="D50">
        <v>111</v>
      </c>
      <c r="E50">
        <v>200</v>
      </c>
      <c r="F50">
        <v>4</v>
      </c>
      <c r="G50">
        <v>127</v>
      </c>
      <c r="H50">
        <v>106</v>
      </c>
      <c r="I50">
        <f>106+93</f>
        <v>199</v>
      </c>
      <c r="J50">
        <v>2</v>
      </c>
      <c r="K50">
        <v>111</v>
      </c>
    </row>
    <row r="51" spans="2:11" x14ac:dyDescent="0.25">
      <c r="C51">
        <v>2</v>
      </c>
      <c r="D51">
        <v>92</v>
      </c>
      <c r="E51">
        <f>92+78</f>
        <v>170</v>
      </c>
      <c r="F51">
        <v>18</v>
      </c>
      <c r="G51">
        <v>133</v>
      </c>
      <c r="H51">
        <v>71</v>
      </c>
      <c r="I51">
        <v>171</v>
      </c>
    </row>
    <row r="52" spans="2:11" x14ac:dyDescent="0.25">
      <c r="C52">
        <v>3</v>
      </c>
      <c r="D52">
        <v>62</v>
      </c>
      <c r="E52">
        <v>134</v>
      </c>
      <c r="F52">
        <v>13</v>
      </c>
      <c r="G52">
        <f>99+13</f>
        <v>112</v>
      </c>
      <c r="H52">
        <v>53</v>
      </c>
      <c r="I52">
        <f>66+53</f>
        <v>119</v>
      </c>
      <c r="J52">
        <v>14</v>
      </c>
      <c r="K52">
        <v>112</v>
      </c>
    </row>
    <row r="53" spans="2:11" x14ac:dyDescent="0.25">
      <c r="C53" t="s">
        <v>6</v>
      </c>
      <c r="D53">
        <f>SUM(D50:D52)</f>
        <v>265</v>
      </c>
      <c r="E53">
        <f t="shared" ref="E53:I53" si="17">SUM(E50:E52)</f>
        <v>504</v>
      </c>
      <c r="F53">
        <f t="shared" si="17"/>
        <v>35</v>
      </c>
      <c r="G53">
        <f t="shared" si="17"/>
        <v>372</v>
      </c>
      <c r="H53">
        <f t="shared" si="17"/>
        <v>230</v>
      </c>
      <c r="I53">
        <f t="shared" si="17"/>
        <v>489</v>
      </c>
      <c r="J53">
        <f>SUM(J50:J52)</f>
        <v>16</v>
      </c>
      <c r="K53">
        <f>SUM(K50:K52)</f>
        <v>223</v>
      </c>
    </row>
    <row r="54" spans="2:11" x14ac:dyDescent="0.25">
      <c r="C54" t="s">
        <v>7</v>
      </c>
      <c r="D54">
        <f>(D53/E53)*100</f>
        <v>52.579365079365083</v>
      </c>
      <c r="F54">
        <f>(F53/G53)*100</f>
        <v>9.408602150537634</v>
      </c>
      <c r="H54">
        <f>(H53/I53)*100</f>
        <v>47.034764826175866</v>
      </c>
      <c r="J54">
        <f>(J53/K53)*100</f>
        <v>7.1748878923766819</v>
      </c>
    </row>
    <row r="58" spans="2:11" x14ac:dyDescent="0.25">
      <c r="B58" s="7" t="s">
        <v>16</v>
      </c>
      <c r="C58" s="4" t="s">
        <v>32</v>
      </c>
      <c r="D58" t="s">
        <v>1</v>
      </c>
      <c r="E58" t="s">
        <v>4</v>
      </c>
      <c r="F58" t="s">
        <v>2</v>
      </c>
      <c r="G58" t="s">
        <v>4</v>
      </c>
      <c r="H58" t="s">
        <v>3</v>
      </c>
      <c r="I58" t="s">
        <v>4</v>
      </c>
      <c r="J58" t="s">
        <v>5</v>
      </c>
      <c r="K58" t="s">
        <v>4</v>
      </c>
    </row>
    <row r="59" spans="2:11" x14ac:dyDescent="0.25">
      <c r="C59">
        <v>1</v>
      </c>
      <c r="D59">
        <v>126</v>
      </c>
      <c r="E59">
        <f>126+141</f>
        <v>267</v>
      </c>
      <c r="F59">
        <v>41</v>
      </c>
      <c r="G59">
        <f>41+316</f>
        <v>357</v>
      </c>
      <c r="H59">
        <v>78</v>
      </c>
      <c r="I59">
        <f>78+97</f>
        <v>175</v>
      </c>
      <c r="J59">
        <v>49</v>
      </c>
      <c r="K59">
        <f>49+212</f>
        <v>261</v>
      </c>
    </row>
    <row r="60" spans="2:11" x14ac:dyDescent="0.25">
      <c r="C60">
        <v>2</v>
      </c>
      <c r="D60">
        <v>166</v>
      </c>
      <c r="E60">
        <v>335</v>
      </c>
      <c r="F60">
        <v>47</v>
      </c>
      <c r="G60">
        <v>305</v>
      </c>
      <c r="H60">
        <v>108</v>
      </c>
      <c r="I60">
        <f>108+126</f>
        <v>234</v>
      </c>
    </row>
    <row r="61" spans="2:11" x14ac:dyDescent="0.25">
      <c r="C61" s="2" t="s">
        <v>17</v>
      </c>
      <c r="D61">
        <v>221</v>
      </c>
      <c r="E61">
        <v>498</v>
      </c>
      <c r="F61">
        <v>25</v>
      </c>
      <c r="G61">
        <f>25+167</f>
        <v>192</v>
      </c>
      <c r="H61">
        <v>78</v>
      </c>
      <c r="I61">
        <f>78+79</f>
        <v>157</v>
      </c>
      <c r="J61">
        <v>34</v>
      </c>
      <c r="K61">
        <f>34+248</f>
        <v>282</v>
      </c>
    </row>
    <row r="62" spans="2:11" x14ac:dyDescent="0.25">
      <c r="C62" t="s">
        <v>6</v>
      </c>
      <c r="D62">
        <f>SUM(D59:D61)</f>
        <v>513</v>
      </c>
      <c r="E62">
        <f t="shared" ref="E62:G62" si="18">SUM(E59:E61)</f>
        <v>1100</v>
      </c>
      <c r="F62">
        <f t="shared" si="18"/>
        <v>113</v>
      </c>
      <c r="G62">
        <f t="shared" si="18"/>
        <v>854</v>
      </c>
      <c r="H62">
        <f>SUM(H60:H61)</f>
        <v>186</v>
      </c>
      <c r="I62">
        <f>SUM(I60:I61)</f>
        <v>391</v>
      </c>
      <c r="J62">
        <f>SUM(J59:J61)</f>
        <v>83</v>
      </c>
      <c r="K62">
        <f>SUM(K59:K61)</f>
        <v>543</v>
      </c>
    </row>
    <row r="63" spans="2:11" x14ac:dyDescent="0.25">
      <c r="C63" t="s">
        <v>7</v>
      </c>
      <c r="D63">
        <f>(D62/E62)*100</f>
        <v>46.63636363636364</v>
      </c>
      <c r="F63">
        <f>(F62/G62)*100</f>
        <v>13.23185011709602</v>
      </c>
      <c r="H63">
        <f>(H62/I62)*100</f>
        <v>47.570332480818415</v>
      </c>
      <c r="J63">
        <f>(J62/K62)*100</f>
        <v>15.285451197053407</v>
      </c>
    </row>
  </sheetData>
  <mergeCells count="1">
    <mergeCell ref="N34:S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56"/>
  <sheetViews>
    <sheetView zoomScale="65" workbookViewId="0">
      <selection activeCell="K61" sqref="K61"/>
    </sheetView>
  </sheetViews>
  <sheetFormatPr defaultColWidth="11.42578125" defaultRowHeight="15" x14ac:dyDescent="0.25"/>
  <cols>
    <col min="2" max="2" width="15.28515625" bestFit="1" customWidth="1"/>
    <col min="13" max="13" width="15.28515625" bestFit="1" customWidth="1"/>
  </cols>
  <sheetData>
    <row r="2" spans="1:22" x14ac:dyDescent="0.25">
      <c r="A2" t="s">
        <v>9</v>
      </c>
    </row>
    <row r="3" spans="1:22" x14ac:dyDescent="0.25">
      <c r="B3" s="7" t="s">
        <v>20</v>
      </c>
      <c r="C3" s="4" t="s">
        <v>32</v>
      </c>
      <c r="D3" t="s">
        <v>1</v>
      </c>
      <c r="E3" t="s">
        <v>4</v>
      </c>
      <c r="F3" t="s">
        <v>2</v>
      </c>
      <c r="G3" t="s">
        <v>4</v>
      </c>
      <c r="H3" t="s">
        <v>3</v>
      </c>
      <c r="I3" t="s">
        <v>4</v>
      </c>
      <c r="J3" t="s">
        <v>5</v>
      </c>
      <c r="K3" t="s">
        <v>4</v>
      </c>
      <c r="M3" s="5" t="s">
        <v>21</v>
      </c>
      <c r="N3" s="4" t="s">
        <v>32</v>
      </c>
      <c r="O3" t="s">
        <v>1</v>
      </c>
      <c r="P3" t="s">
        <v>4</v>
      </c>
      <c r="Q3" t="s">
        <v>2</v>
      </c>
      <c r="R3" t="s">
        <v>4</v>
      </c>
      <c r="S3" t="s">
        <v>3</v>
      </c>
      <c r="T3" t="s">
        <v>4</v>
      </c>
      <c r="U3" t="s">
        <v>5</v>
      </c>
      <c r="V3" t="s">
        <v>4</v>
      </c>
    </row>
    <row r="4" spans="1:22" x14ac:dyDescent="0.25">
      <c r="C4">
        <v>1</v>
      </c>
      <c r="D4">
        <v>102</v>
      </c>
      <c r="E4">
        <f>102+119</f>
        <v>221</v>
      </c>
      <c r="F4">
        <v>4</v>
      </c>
      <c r="G4">
        <v>159</v>
      </c>
      <c r="H4">
        <v>92</v>
      </c>
      <c r="I4">
        <v>200</v>
      </c>
      <c r="J4">
        <v>4</v>
      </c>
      <c r="K4">
        <v>216</v>
      </c>
      <c r="N4">
        <v>1</v>
      </c>
      <c r="O4">
        <v>81</v>
      </c>
      <c r="P4">
        <f>81+139</f>
        <v>220</v>
      </c>
      <c r="Q4">
        <v>20</v>
      </c>
      <c r="R4">
        <v>177</v>
      </c>
      <c r="S4">
        <v>22</v>
      </c>
      <c r="T4">
        <v>66</v>
      </c>
      <c r="U4">
        <v>17</v>
      </c>
      <c r="V4">
        <f>17+176</f>
        <v>193</v>
      </c>
    </row>
    <row r="5" spans="1:22" x14ac:dyDescent="0.25">
      <c r="C5">
        <v>2</v>
      </c>
      <c r="D5">
        <v>68</v>
      </c>
      <c r="E5">
        <v>133</v>
      </c>
      <c r="F5">
        <v>3</v>
      </c>
      <c r="G5">
        <v>92</v>
      </c>
      <c r="H5">
        <v>110</v>
      </c>
      <c r="I5">
        <v>232</v>
      </c>
      <c r="J5">
        <v>5</v>
      </c>
      <c r="K5">
        <v>198</v>
      </c>
      <c r="N5">
        <v>2</v>
      </c>
      <c r="Q5">
        <v>10</v>
      </c>
      <c r="R5">
        <v>98</v>
      </c>
      <c r="S5">
        <v>109</v>
      </c>
      <c r="T5">
        <v>229</v>
      </c>
      <c r="U5">
        <v>23</v>
      </c>
      <c r="V5">
        <f>23+185</f>
        <v>208</v>
      </c>
    </row>
    <row r="6" spans="1:22" x14ac:dyDescent="0.25">
      <c r="C6">
        <v>3</v>
      </c>
      <c r="D6">
        <v>101</v>
      </c>
      <c r="E6">
        <v>232</v>
      </c>
      <c r="F6">
        <v>8</v>
      </c>
      <c r="G6">
        <v>199</v>
      </c>
      <c r="H6">
        <v>62</v>
      </c>
      <c r="I6">
        <f>62+88</f>
        <v>150</v>
      </c>
      <c r="J6">
        <v>4</v>
      </c>
      <c r="K6">
        <v>122</v>
      </c>
      <c r="N6">
        <v>3</v>
      </c>
      <c r="O6">
        <v>63</v>
      </c>
      <c r="P6">
        <f>63+114</f>
        <v>177</v>
      </c>
      <c r="Q6">
        <v>28</v>
      </c>
      <c r="R6">
        <f>28+129</f>
        <v>157</v>
      </c>
      <c r="S6">
        <v>78</v>
      </c>
      <c r="T6">
        <f>78+124</f>
        <v>202</v>
      </c>
      <c r="U6">
        <v>16</v>
      </c>
      <c r="V6">
        <f>16+145</f>
        <v>161</v>
      </c>
    </row>
    <row r="7" spans="1:22" x14ac:dyDescent="0.25">
      <c r="C7" t="s">
        <v>6</v>
      </c>
      <c r="D7">
        <f>SUM(D4:D6)</f>
        <v>271</v>
      </c>
      <c r="E7">
        <f t="shared" ref="E7:K7" si="0">SUM(E4:E6)</f>
        <v>586</v>
      </c>
      <c r="F7">
        <f t="shared" si="0"/>
        <v>15</v>
      </c>
      <c r="G7">
        <f t="shared" si="0"/>
        <v>450</v>
      </c>
      <c r="H7">
        <f t="shared" si="0"/>
        <v>264</v>
      </c>
      <c r="I7">
        <f t="shared" si="0"/>
        <v>582</v>
      </c>
      <c r="J7">
        <f t="shared" si="0"/>
        <v>13</v>
      </c>
      <c r="K7">
        <f t="shared" si="0"/>
        <v>536</v>
      </c>
      <c r="N7" t="s">
        <v>6</v>
      </c>
      <c r="O7">
        <f>SUM(O4:O6)</f>
        <v>144</v>
      </c>
      <c r="P7">
        <f t="shared" ref="P7:V7" si="1">SUM(P4:P6)</f>
        <v>397</v>
      </c>
      <c r="Q7">
        <f t="shared" si="1"/>
        <v>58</v>
      </c>
      <c r="R7">
        <f t="shared" si="1"/>
        <v>432</v>
      </c>
      <c r="S7">
        <f t="shared" si="1"/>
        <v>209</v>
      </c>
      <c r="T7">
        <f t="shared" si="1"/>
        <v>497</v>
      </c>
      <c r="U7">
        <f t="shared" si="1"/>
        <v>56</v>
      </c>
      <c r="V7">
        <f t="shared" si="1"/>
        <v>562</v>
      </c>
    </row>
    <row r="8" spans="1:22" x14ac:dyDescent="0.25">
      <c r="C8" t="s">
        <v>7</v>
      </c>
      <c r="D8">
        <f>(D7/E7)*100</f>
        <v>46.245733788395903</v>
      </c>
      <c r="F8">
        <f>(F7/G7)*100</f>
        <v>3.3333333333333335</v>
      </c>
      <c r="H8">
        <f>(H7/I7)*100</f>
        <v>45.360824742268044</v>
      </c>
      <c r="J8">
        <f>(J7/K7)*100</f>
        <v>2.4253731343283582</v>
      </c>
      <c r="N8" t="s">
        <v>7</v>
      </c>
      <c r="O8">
        <f>(O7/P7)*100</f>
        <v>36.272040302267001</v>
      </c>
      <c r="Q8">
        <f>(Q7/R7)*100</f>
        <v>13.425925925925927</v>
      </c>
      <c r="S8">
        <f>(S7/T7)*100</f>
        <v>42.052313883299796</v>
      </c>
      <c r="U8">
        <f>(U7/V7)*100</f>
        <v>9.9644128113879002</v>
      </c>
    </row>
    <row r="11" spans="1:22" x14ac:dyDescent="0.25">
      <c r="B11" s="7" t="s">
        <v>22</v>
      </c>
      <c r="C11" s="4" t="s">
        <v>32</v>
      </c>
      <c r="D11" t="s">
        <v>1</v>
      </c>
      <c r="E11" t="s">
        <v>4</v>
      </c>
      <c r="F11" t="s">
        <v>2</v>
      </c>
      <c r="G11" t="s">
        <v>4</v>
      </c>
      <c r="H11" t="s">
        <v>3</v>
      </c>
      <c r="I11" t="s">
        <v>4</v>
      </c>
      <c r="J11" t="s">
        <v>5</v>
      </c>
      <c r="K11" t="s">
        <v>4</v>
      </c>
      <c r="M11" s="5" t="s">
        <v>23</v>
      </c>
      <c r="N11" s="4" t="s">
        <v>32</v>
      </c>
      <c r="O11" t="s">
        <v>1</v>
      </c>
      <c r="P11" t="s">
        <v>4</v>
      </c>
      <c r="Q11" t="s">
        <v>2</v>
      </c>
      <c r="R11" t="s">
        <v>4</v>
      </c>
      <c r="S11" t="s">
        <v>3</v>
      </c>
      <c r="T11" t="s">
        <v>4</v>
      </c>
      <c r="U11" t="s">
        <v>5</v>
      </c>
      <c r="V11" t="s">
        <v>4</v>
      </c>
    </row>
    <row r="12" spans="1:22" x14ac:dyDescent="0.25">
      <c r="C12">
        <v>1</v>
      </c>
      <c r="D12">
        <v>96</v>
      </c>
      <c r="E12">
        <f>96+95</f>
        <v>191</v>
      </c>
      <c r="F12">
        <v>5</v>
      </c>
      <c r="G12">
        <v>165</v>
      </c>
      <c r="H12">
        <v>69</v>
      </c>
      <c r="I12">
        <f>69+112</f>
        <v>181</v>
      </c>
      <c r="J12">
        <v>8</v>
      </c>
      <c r="K12">
        <v>200</v>
      </c>
      <c r="N12">
        <v>1</v>
      </c>
      <c r="O12">
        <v>79</v>
      </c>
      <c r="P12">
        <v>193</v>
      </c>
      <c r="Q12">
        <v>10</v>
      </c>
      <c r="R12">
        <v>181</v>
      </c>
      <c r="S12">
        <v>64</v>
      </c>
      <c r="T12">
        <v>167</v>
      </c>
      <c r="U12">
        <v>8</v>
      </c>
      <c r="V12">
        <v>102</v>
      </c>
    </row>
    <row r="13" spans="1:22" x14ac:dyDescent="0.25">
      <c r="C13">
        <v>2</v>
      </c>
      <c r="D13">
        <v>58</v>
      </c>
      <c r="E13">
        <f>58+59</f>
        <v>117</v>
      </c>
      <c r="F13">
        <v>3</v>
      </c>
      <c r="G13">
        <v>113</v>
      </c>
      <c r="H13">
        <v>55</v>
      </c>
      <c r="I13">
        <f>55+61</f>
        <v>116</v>
      </c>
      <c r="J13">
        <v>6</v>
      </c>
      <c r="K13">
        <v>179</v>
      </c>
      <c r="N13">
        <v>2</v>
      </c>
      <c r="O13">
        <v>40</v>
      </c>
      <c r="P13">
        <f>40+87</f>
        <v>127</v>
      </c>
      <c r="Q13">
        <v>16</v>
      </c>
      <c r="R13">
        <v>128</v>
      </c>
    </row>
    <row r="14" spans="1:22" x14ac:dyDescent="0.25">
      <c r="C14">
        <v>3</v>
      </c>
      <c r="D14">
        <v>71</v>
      </c>
      <c r="E14">
        <f>71+117</f>
        <v>188</v>
      </c>
      <c r="F14">
        <v>6</v>
      </c>
      <c r="G14">
        <v>130</v>
      </c>
      <c r="H14">
        <v>63</v>
      </c>
      <c r="I14">
        <f>63+111</f>
        <v>174</v>
      </c>
      <c r="J14">
        <v>11</v>
      </c>
      <c r="K14">
        <v>179</v>
      </c>
      <c r="N14">
        <v>3</v>
      </c>
      <c r="O14">
        <v>40</v>
      </c>
      <c r="P14">
        <f>40+87</f>
        <v>127</v>
      </c>
      <c r="Q14">
        <v>13</v>
      </c>
      <c r="R14">
        <f>13+195</f>
        <v>208</v>
      </c>
      <c r="S14">
        <v>78</v>
      </c>
      <c r="T14">
        <f>78+86</f>
        <v>164</v>
      </c>
      <c r="U14">
        <v>10</v>
      </c>
      <c r="V14">
        <v>172</v>
      </c>
    </row>
    <row r="15" spans="1:22" x14ac:dyDescent="0.25">
      <c r="C15" t="s">
        <v>6</v>
      </c>
      <c r="D15">
        <f>SUM(D12:D14)</f>
        <v>225</v>
      </c>
      <c r="E15">
        <f t="shared" ref="E15" si="2">SUM(E12:E14)</f>
        <v>496</v>
      </c>
      <c r="F15">
        <f>SUM(F12:F14)</f>
        <v>14</v>
      </c>
      <c r="G15">
        <f>SUM(G12:G14)</f>
        <v>408</v>
      </c>
      <c r="H15">
        <f>SUM(H12:H14)</f>
        <v>187</v>
      </c>
      <c r="I15">
        <f>SUM(I12:I14)</f>
        <v>471</v>
      </c>
      <c r="J15">
        <f t="shared" ref="J15:K15" si="3">SUM(J12:J14)</f>
        <v>25</v>
      </c>
      <c r="K15">
        <f t="shared" si="3"/>
        <v>558</v>
      </c>
      <c r="N15" t="s">
        <v>6</v>
      </c>
      <c r="O15">
        <f>SUM(O12:O14)</f>
        <v>159</v>
      </c>
      <c r="P15">
        <f t="shared" ref="P15" si="4">SUM(P12:P14)</f>
        <v>447</v>
      </c>
      <c r="Q15">
        <f>SUM(Q12:Q14)</f>
        <v>39</v>
      </c>
      <c r="R15">
        <f>SUM(R12:R14)</f>
        <v>517</v>
      </c>
      <c r="S15">
        <f>SUM(S12:S14)</f>
        <v>142</v>
      </c>
      <c r="T15">
        <f>SUM(T12:T14)</f>
        <v>331</v>
      </c>
      <c r="U15">
        <f t="shared" ref="U15:V15" si="5">SUM(U12:U14)</f>
        <v>18</v>
      </c>
      <c r="V15">
        <f t="shared" si="5"/>
        <v>274</v>
      </c>
    </row>
    <row r="16" spans="1:22" x14ac:dyDescent="0.25">
      <c r="C16" t="s">
        <v>7</v>
      </c>
      <c r="D16">
        <f>(D15/E15)*100</f>
        <v>45.362903225806448</v>
      </c>
      <c r="F16">
        <f>(F15/G15)*100</f>
        <v>3.4313725490196081</v>
      </c>
      <c r="H16">
        <f>(H15/I15)*100</f>
        <v>39.702760084925693</v>
      </c>
      <c r="J16">
        <f>(J15/K15)*100</f>
        <v>4.4802867383512543</v>
      </c>
      <c r="N16" t="s">
        <v>7</v>
      </c>
      <c r="O16">
        <f>(O15/P15)*100</f>
        <v>35.570469798657719</v>
      </c>
      <c r="Q16">
        <f>(Q15/R15)*100</f>
        <v>7.5435203094777563</v>
      </c>
      <c r="S16">
        <f>(S15/T15)*100</f>
        <v>42.900302114803623</v>
      </c>
      <c r="U16">
        <f>(U15/V15)*100</f>
        <v>6.5693430656934311</v>
      </c>
    </row>
    <row r="18" spans="2:22" x14ac:dyDescent="0.25">
      <c r="B18" s="7" t="s">
        <v>20</v>
      </c>
      <c r="C18" s="4" t="s">
        <v>32</v>
      </c>
      <c r="D18" t="s">
        <v>1</v>
      </c>
      <c r="E18" t="s">
        <v>4</v>
      </c>
      <c r="F18" t="s">
        <v>2</v>
      </c>
      <c r="G18" t="s">
        <v>4</v>
      </c>
      <c r="H18" t="s">
        <v>3</v>
      </c>
      <c r="I18" t="s">
        <v>4</v>
      </c>
      <c r="J18" t="s">
        <v>5</v>
      </c>
      <c r="K18" t="s">
        <v>4</v>
      </c>
      <c r="M18" s="5" t="s">
        <v>24</v>
      </c>
      <c r="N18" s="4" t="s">
        <v>32</v>
      </c>
      <c r="O18" t="s">
        <v>1</v>
      </c>
      <c r="P18" t="s">
        <v>4</v>
      </c>
      <c r="Q18" t="s">
        <v>2</v>
      </c>
      <c r="R18" t="s">
        <v>4</v>
      </c>
      <c r="S18" t="s">
        <v>3</v>
      </c>
      <c r="T18" t="s">
        <v>4</v>
      </c>
      <c r="U18" t="s">
        <v>5</v>
      </c>
      <c r="V18" t="s">
        <v>4</v>
      </c>
    </row>
    <row r="19" spans="2:22" x14ac:dyDescent="0.25">
      <c r="C19">
        <v>1</v>
      </c>
      <c r="D19">
        <v>83</v>
      </c>
      <c r="E19">
        <f>83+88</f>
        <v>171</v>
      </c>
      <c r="F19">
        <v>7</v>
      </c>
      <c r="G19">
        <v>160</v>
      </c>
      <c r="H19">
        <v>58</v>
      </c>
      <c r="I19">
        <v>131</v>
      </c>
      <c r="J19">
        <v>0</v>
      </c>
      <c r="K19">
        <v>126</v>
      </c>
      <c r="N19">
        <v>1</v>
      </c>
      <c r="O19">
        <v>86</v>
      </c>
      <c r="P19">
        <f>86+185</f>
        <v>271</v>
      </c>
      <c r="Q19">
        <v>5</v>
      </c>
      <c r="R19">
        <v>154</v>
      </c>
      <c r="S19">
        <v>76</v>
      </c>
      <c r="T19">
        <v>198</v>
      </c>
      <c r="U19">
        <v>6</v>
      </c>
      <c r="V19">
        <v>166</v>
      </c>
    </row>
    <row r="20" spans="2:22" x14ac:dyDescent="0.25">
      <c r="C20">
        <v>2</v>
      </c>
      <c r="D20">
        <v>61</v>
      </c>
      <c r="E20">
        <v>109</v>
      </c>
      <c r="F20">
        <v>0</v>
      </c>
      <c r="G20">
        <v>79</v>
      </c>
      <c r="H20">
        <v>36</v>
      </c>
      <c r="I20">
        <f>36+39</f>
        <v>75</v>
      </c>
      <c r="J20">
        <v>4</v>
      </c>
      <c r="K20">
        <v>144</v>
      </c>
      <c r="N20">
        <v>2</v>
      </c>
      <c r="O20">
        <v>120</v>
      </c>
      <c r="P20">
        <v>284</v>
      </c>
      <c r="Q20">
        <v>8</v>
      </c>
      <c r="R20">
        <v>108</v>
      </c>
      <c r="S20">
        <v>60</v>
      </c>
      <c r="T20">
        <f>60+68</f>
        <v>128</v>
      </c>
      <c r="U20">
        <v>9</v>
      </c>
      <c r="V20">
        <v>175</v>
      </c>
    </row>
    <row r="21" spans="2:22" x14ac:dyDescent="0.25">
      <c r="C21">
        <v>3</v>
      </c>
      <c r="D21">
        <v>51</v>
      </c>
      <c r="E21">
        <v>112</v>
      </c>
      <c r="F21">
        <v>1</v>
      </c>
      <c r="G21">
        <v>85</v>
      </c>
      <c r="H21">
        <v>48</v>
      </c>
      <c r="I21">
        <f>48+62</f>
        <v>110</v>
      </c>
      <c r="J21">
        <v>2</v>
      </c>
      <c r="K21">
        <v>100</v>
      </c>
      <c r="N21">
        <v>3</v>
      </c>
      <c r="O21">
        <v>50</v>
      </c>
      <c r="P21">
        <v>151</v>
      </c>
      <c r="Q21">
        <v>15</v>
      </c>
      <c r="R21">
        <f>15+121</f>
        <v>136</v>
      </c>
      <c r="S21">
        <v>54</v>
      </c>
      <c r="T21">
        <f>54+72</f>
        <v>126</v>
      </c>
      <c r="U21">
        <v>5</v>
      </c>
      <c r="V21">
        <v>80</v>
      </c>
    </row>
    <row r="22" spans="2:22" x14ac:dyDescent="0.25">
      <c r="C22" t="s">
        <v>6</v>
      </c>
      <c r="D22">
        <f>SUM(D19:D21)</f>
        <v>195</v>
      </c>
      <c r="E22">
        <f t="shared" ref="E22:I22" si="6">SUM(E19:E21)</f>
        <v>392</v>
      </c>
      <c r="F22">
        <f t="shared" si="6"/>
        <v>8</v>
      </c>
      <c r="G22">
        <f t="shared" si="6"/>
        <v>324</v>
      </c>
      <c r="H22">
        <f t="shared" si="6"/>
        <v>142</v>
      </c>
      <c r="I22">
        <f t="shared" si="6"/>
        <v>316</v>
      </c>
      <c r="J22">
        <f>SUM(J19:J20)</f>
        <v>4</v>
      </c>
      <c r="K22">
        <f>SUM(K19:K20)</f>
        <v>270</v>
      </c>
      <c r="N22" t="s">
        <v>6</v>
      </c>
      <c r="O22">
        <f>SUM(O19:O21)</f>
        <v>256</v>
      </c>
      <c r="P22">
        <f t="shared" ref="P22:V22" si="7">SUM(P19:P21)</f>
        <v>706</v>
      </c>
      <c r="Q22">
        <f t="shared" si="7"/>
        <v>28</v>
      </c>
      <c r="R22">
        <f t="shared" si="7"/>
        <v>398</v>
      </c>
      <c r="S22">
        <f t="shared" si="7"/>
        <v>190</v>
      </c>
      <c r="T22">
        <f t="shared" si="7"/>
        <v>452</v>
      </c>
      <c r="U22">
        <f t="shared" si="7"/>
        <v>20</v>
      </c>
      <c r="V22">
        <f t="shared" si="7"/>
        <v>421</v>
      </c>
    </row>
    <row r="23" spans="2:22" x14ac:dyDescent="0.25">
      <c r="C23" t="s">
        <v>7</v>
      </c>
      <c r="D23">
        <f>(D22/E22)*100</f>
        <v>49.744897959183675</v>
      </c>
      <c r="F23">
        <f>(F22/G22)*100</f>
        <v>2.4691358024691357</v>
      </c>
      <c r="H23">
        <f>(H22/I22)*100</f>
        <v>44.936708860759495</v>
      </c>
      <c r="J23">
        <f>(J22/K22)*100</f>
        <v>1.4814814814814816</v>
      </c>
      <c r="N23" t="s">
        <v>7</v>
      </c>
      <c r="O23">
        <f>(O22/P22)*100</f>
        <v>36.260623229461757</v>
      </c>
      <c r="Q23">
        <f>(Q22/R22)*100</f>
        <v>7.0351758793969852</v>
      </c>
      <c r="S23">
        <f>(S22/T22)*100</f>
        <v>42.035398230088497</v>
      </c>
      <c r="U23">
        <f>(U22/V22)*100</f>
        <v>4.7505938242280283</v>
      </c>
    </row>
    <row r="26" spans="2:22" x14ac:dyDescent="0.25">
      <c r="B26" s="7" t="s">
        <v>26</v>
      </c>
      <c r="C26" s="4" t="s">
        <v>32</v>
      </c>
      <c r="D26" t="s">
        <v>1</v>
      </c>
      <c r="E26" t="s">
        <v>4</v>
      </c>
      <c r="F26" t="s">
        <v>2</v>
      </c>
      <c r="G26" t="s">
        <v>4</v>
      </c>
      <c r="H26" t="s">
        <v>3</v>
      </c>
      <c r="I26" t="s">
        <v>4</v>
      </c>
      <c r="J26" t="s">
        <v>5</v>
      </c>
      <c r="K26" t="s">
        <v>4</v>
      </c>
      <c r="M26" s="5" t="s">
        <v>28</v>
      </c>
      <c r="N26" s="4" t="s">
        <v>32</v>
      </c>
      <c r="O26" t="s">
        <v>1</v>
      </c>
      <c r="P26" t="s">
        <v>4</v>
      </c>
      <c r="Q26" t="s">
        <v>2</v>
      </c>
      <c r="R26" t="s">
        <v>4</v>
      </c>
      <c r="S26" t="s">
        <v>3</v>
      </c>
      <c r="T26" t="s">
        <v>4</v>
      </c>
      <c r="U26" t="s">
        <v>5</v>
      </c>
      <c r="V26" t="s">
        <v>4</v>
      </c>
    </row>
    <row r="27" spans="2:22" x14ac:dyDescent="0.25">
      <c r="C27">
        <v>1</v>
      </c>
      <c r="D27">
        <v>136</v>
      </c>
      <c r="E27">
        <v>262</v>
      </c>
      <c r="F27">
        <v>0</v>
      </c>
      <c r="G27">
        <v>125</v>
      </c>
      <c r="H27">
        <v>77</v>
      </c>
      <c r="I27">
        <v>151</v>
      </c>
      <c r="J27">
        <v>0</v>
      </c>
      <c r="K27">
        <v>107</v>
      </c>
      <c r="N27">
        <v>1</v>
      </c>
      <c r="O27">
        <v>54</v>
      </c>
      <c r="P27">
        <f>54+46</f>
        <v>100</v>
      </c>
      <c r="Q27">
        <v>10</v>
      </c>
      <c r="R27">
        <v>279</v>
      </c>
      <c r="S27">
        <v>50</v>
      </c>
      <c r="T27">
        <f>50+66</f>
        <v>116</v>
      </c>
      <c r="U27">
        <v>8</v>
      </c>
      <c r="V27">
        <v>272</v>
      </c>
    </row>
    <row r="28" spans="2:22" x14ac:dyDescent="0.25">
      <c r="C28">
        <v>2</v>
      </c>
      <c r="D28">
        <v>166</v>
      </c>
      <c r="E28">
        <f>166+186</f>
        <v>352</v>
      </c>
      <c r="F28">
        <v>0</v>
      </c>
      <c r="G28">
        <v>252</v>
      </c>
      <c r="H28">
        <v>149</v>
      </c>
      <c r="I28">
        <v>228</v>
      </c>
      <c r="J28">
        <v>0</v>
      </c>
      <c r="K28">
        <v>224</v>
      </c>
      <c r="N28">
        <v>2</v>
      </c>
      <c r="O28">
        <v>90</v>
      </c>
      <c r="P28">
        <f>90+162</f>
        <v>252</v>
      </c>
      <c r="Q28">
        <v>4</v>
      </c>
      <c r="R28">
        <v>221</v>
      </c>
      <c r="S28">
        <v>139</v>
      </c>
      <c r="T28">
        <f>139+134</f>
        <v>273</v>
      </c>
      <c r="U28">
        <v>5</v>
      </c>
      <c r="V28">
        <v>247</v>
      </c>
    </row>
    <row r="29" spans="2:22" x14ac:dyDescent="0.25">
      <c r="C29">
        <v>3</v>
      </c>
      <c r="D29">
        <v>127</v>
      </c>
      <c r="E29">
        <v>243</v>
      </c>
      <c r="F29">
        <v>1</v>
      </c>
      <c r="G29">
        <v>230</v>
      </c>
      <c r="H29">
        <v>147</v>
      </c>
      <c r="I29">
        <v>280</v>
      </c>
      <c r="J29">
        <v>0</v>
      </c>
      <c r="K29">
        <v>208</v>
      </c>
      <c r="N29">
        <v>3</v>
      </c>
      <c r="O29">
        <v>40</v>
      </c>
      <c r="P29">
        <v>124</v>
      </c>
      <c r="Q29">
        <v>1</v>
      </c>
      <c r="R29">
        <v>103</v>
      </c>
      <c r="S29">
        <v>64</v>
      </c>
      <c r="T29">
        <f>64+80</f>
        <v>144</v>
      </c>
      <c r="U29">
        <v>3</v>
      </c>
      <c r="V29">
        <v>119</v>
      </c>
    </row>
    <row r="30" spans="2:22" x14ac:dyDescent="0.25">
      <c r="C30" t="s">
        <v>6</v>
      </c>
      <c r="D30">
        <f>SUM(D27:D29)</f>
        <v>429</v>
      </c>
      <c r="E30">
        <f t="shared" ref="E30:K30" si="8">SUM(E27:E29)</f>
        <v>857</v>
      </c>
      <c r="F30">
        <f t="shared" si="8"/>
        <v>1</v>
      </c>
      <c r="G30">
        <f t="shared" si="8"/>
        <v>607</v>
      </c>
      <c r="H30">
        <f t="shared" si="8"/>
        <v>373</v>
      </c>
      <c r="I30">
        <f t="shared" si="8"/>
        <v>659</v>
      </c>
      <c r="J30">
        <f t="shared" si="8"/>
        <v>0</v>
      </c>
      <c r="K30">
        <f t="shared" si="8"/>
        <v>539</v>
      </c>
      <c r="N30" t="s">
        <v>6</v>
      </c>
      <c r="O30">
        <f>SUM(O27:O29)</f>
        <v>184</v>
      </c>
      <c r="P30">
        <f t="shared" ref="P30:V30" si="9">SUM(P27:P29)</f>
        <v>476</v>
      </c>
      <c r="Q30">
        <f t="shared" si="9"/>
        <v>15</v>
      </c>
      <c r="R30">
        <f t="shared" si="9"/>
        <v>603</v>
      </c>
      <c r="S30">
        <f t="shared" si="9"/>
        <v>253</v>
      </c>
      <c r="T30">
        <f t="shared" si="9"/>
        <v>533</v>
      </c>
      <c r="U30">
        <f t="shared" si="9"/>
        <v>16</v>
      </c>
      <c r="V30">
        <f t="shared" si="9"/>
        <v>638</v>
      </c>
    </row>
    <row r="31" spans="2:22" x14ac:dyDescent="0.25">
      <c r="C31" t="s">
        <v>7</v>
      </c>
      <c r="D31">
        <f>(D30/E30)*100</f>
        <v>50.058343057176188</v>
      </c>
      <c r="F31">
        <f>(F30/G30)*100</f>
        <v>0.16474464579901155</v>
      </c>
      <c r="H31">
        <f>(H30/I30)*100</f>
        <v>56.600910470409715</v>
      </c>
      <c r="J31">
        <f>(J30/K30)*100</f>
        <v>0</v>
      </c>
      <c r="N31" t="s">
        <v>7</v>
      </c>
      <c r="O31">
        <f>(O30/P30)*100</f>
        <v>38.655462184873954</v>
      </c>
      <c r="Q31">
        <f>(Q30/R30)*100</f>
        <v>2.4875621890547266</v>
      </c>
      <c r="S31">
        <f>(S30/T30)*100</f>
        <v>47.467166979362105</v>
      </c>
      <c r="U31">
        <f>(U30/V30)*100</f>
        <v>2.507836990595611</v>
      </c>
    </row>
    <row r="34" spans="2:22" x14ac:dyDescent="0.25">
      <c r="B34" s="7" t="s">
        <v>29</v>
      </c>
      <c r="C34" s="4" t="s">
        <v>32</v>
      </c>
      <c r="D34" t="s">
        <v>1</v>
      </c>
      <c r="E34" t="s">
        <v>4</v>
      </c>
      <c r="F34" t="s">
        <v>2</v>
      </c>
      <c r="G34" t="s">
        <v>4</v>
      </c>
      <c r="H34" t="s">
        <v>3</v>
      </c>
      <c r="I34" t="s">
        <v>4</v>
      </c>
      <c r="J34" t="s">
        <v>5</v>
      </c>
      <c r="K34" t="s">
        <v>4</v>
      </c>
      <c r="M34" s="5" t="s">
        <v>27</v>
      </c>
      <c r="N34" s="4" t="s">
        <v>32</v>
      </c>
      <c r="O34" t="s">
        <v>1</v>
      </c>
      <c r="P34" t="s">
        <v>4</v>
      </c>
      <c r="Q34" t="s">
        <v>2</v>
      </c>
      <c r="R34" t="s">
        <v>4</v>
      </c>
      <c r="S34" t="s">
        <v>3</v>
      </c>
      <c r="T34" t="s">
        <v>4</v>
      </c>
      <c r="U34" t="s">
        <v>5</v>
      </c>
      <c r="V34" t="s">
        <v>4</v>
      </c>
    </row>
    <row r="35" spans="2:22" x14ac:dyDescent="0.25">
      <c r="C35">
        <v>1</v>
      </c>
      <c r="D35">
        <v>160</v>
      </c>
      <c r="E35">
        <f>160+131</f>
        <v>291</v>
      </c>
      <c r="F35">
        <v>0</v>
      </c>
      <c r="G35">
        <v>125</v>
      </c>
      <c r="H35">
        <v>82</v>
      </c>
      <c r="I35">
        <f>82+74</f>
        <v>156</v>
      </c>
      <c r="J35">
        <v>0</v>
      </c>
      <c r="K35">
        <v>135</v>
      </c>
      <c r="N35">
        <v>1</v>
      </c>
      <c r="O35">
        <v>102</v>
      </c>
      <c r="P35">
        <v>307</v>
      </c>
      <c r="Q35">
        <v>7</v>
      </c>
      <c r="R35">
        <v>235</v>
      </c>
      <c r="S35">
        <v>107</v>
      </c>
      <c r="T35">
        <v>237</v>
      </c>
      <c r="U35">
        <v>4</v>
      </c>
      <c r="V35">
        <v>197</v>
      </c>
    </row>
    <row r="36" spans="2:22" x14ac:dyDescent="0.25">
      <c r="C36">
        <v>2</v>
      </c>
      <c r="D36">
        <v>60</v>
      </c>
      <c r="E36">
        <v>143</v>
      </c>
      <c r="F36">
        <v>0</v>
      </c>
      <c r="G36">
        <v>96</v>
      </c>
      <c r="H36">
        <v>75</v>
      </c>
      <c r="I36">
        <v>117</v>
      </c>
      <c r="N36">
        <v>2</v>
      </c>
      <c r="O36">
        <v>61</v>
      </c>
      <c r="P36">
        <f>61+123</f>
        <v>184</v>
      </c>
      <c r="Q36">
        <v>1</v>
      </c>
      <c r="R36">
        <v>172</v>
      </c>
      <c r="S36">
        <v>101</v>
      </c>
      <c r="T36">
        <f>101+116</f>
        <v>217</v>
      </c>
      <c r="U36">
        <v>2</v>
      </c>
      <c r="V36">
        <v>169</v>
      </c>
    </row>
    <row r="37" spans="2:22" x14ac:dyDescent="0.25">
      <c r="C37">
        <v>3</v>
      </c>
      <c r="D37">
        <v>177</v>
      </c>
      <c r="E37">
        <f>188+130</f>
        <v>318</v>
      </c>
      <c r="F37">
        <v>0</v>
      </c>
      <c r="G37">
        <v>203</v>
      </c>
      <c r="H37">
        <v>83</v>
      </c>
      <c r="I37">
        <v>163</v>
      </c>
      <c r="J37">
        <v>0</v>
      </c>
      <c r="K37">
        <v>101</v>
      </c>
      <c r="N37">
        <v>3</v>
      </c>
      <c r="O37">
        <v>55</v>
      </c>
      <c r="P37">
        <f>55+146</f>
        <v>201</v>
      </c>
      <c r="Q37">
        <v>1</v>
      </c>
      <c r="R37">
        <v>165</v>
      </c>
      <c r="S37">
        <v>94</v>
      </c>
      <c r="T37">
        <f>94+115</f>
        <v>209</v>
      </c>
      <c r="U37">
        <v>0</v>
      </c>
      <c r="V37">
        <v>164</v>
      </c>
    </row>
    <row r="38" spans="2:22" x14ac:dyDescent="0.25">
      <c r="C38" t="s">
        <v>6</v>
      </c>
      <c r="D38">
        <f>SUM(D35:D37)</f>
        <v>397</v>
      </c>
      <c r="E38">
        <f t="shared" ref="E38" si="10">SUM(E35:E37)</f>
        <v>752</v>
      </c>
      <c r="F38">
        <v>1</v>
      </c>
      <c r="G38">
        <f>SUM(G35:G37)</f>
        <v>424</v>
      </c>
      <c r="H38">
        <f>SUM(H35:H37)</f>
        <v>240</v>
      </c>
      <c r="I38">
        <f>SUM(I35:I37)</f>
        <v>436</v>
      </c>
      <c r="J38">
        <f t="shared" ref="J38:K38" si="11">SUM(J35:J37)</f>
        <v>0</v>
      </c>
      <c r="K38">
        <f t="shared" si="11"/>
        <v>236</v>
      </c>
      <c r="N38" t="s">
        <v>6</v>
      </c>
      <c r="O38">
        <f>SUM(O35:O37)</f>
        <v>218</v>
      </c>
      <c r="P38">
        <f t="shared" ref="P38" si="12">SUM(P35:P37)</f>
        <v>692</v>
      </c>
      <c r="Q38">
        <f>SUM(Q35:Q37)</f>
        <v>9</v>
      </c>
      <c r="R38">
        <f>SUM(R35:R37)</f>
        <v>572</v>
      </c>
      <c r="S38">
        <f>SUM(S35:S37)</f>
        <v>302</v>
      </c>
      <c r="T38">
        <f>SUM(T35:T37)</f>
        <v>663</v>
      </c>
      <c r="U38">
        <f t="shared" ref="U38:V38" si="13">SUM(U35:U37)</f>
        <v>6</v>
      </c>
      <c r="V38">
        <f t="shared" si="13"/>
        <v>530</v>
      </c>
    </row>
    <row r="39" spans="2:22" x14ac:dyDescent="0.25">
      <c r="C39" t="s">
        <v>7</v>
      </c>
      <c r="D39">
        <f>(D38/E38)*100</f>
        <v>52.792553191489368</v>
      </c>
      <c r="F39">
        <f>(F38/G38)*100</f>
        <v>0.23584905660377359</v>
      </c>
      <c r="H39">
        <f>(H38/I38)*100</f>
        <v>55.045871559633028</v>
      </c>
      <c r="J39">
        <f>(J38/K38)*100</f>
        <v>0</v>
      </c>
      <c r="N39" t="s">
        <v>7</v>
      </c>
      <c r="O39">
        <f>(O38/P38)*100</f>
        <v>31.502890173410403</v>
      </c>
      <c r="Q39">
        <f>(Q38/R38)*100</f>
        <v>1.5734265734265735</v>
      </c>
      <c r="S39">
        <f>(S38/T38)*100</f>
        <v>45.550527903469082</v>
      </c>
      <c r="U39">
        <f>(U38/V38)*100</f>
        <v>1.1320754716981132</v>
      </c>
    </row>
    <row r="42" spans="2:22" x14ac:dyDescent="0.25">
      <c r="B42" s="59" t="s">
        <v>25</v>
      </c>
      <c r="C42" s="59"/>
      <c r="D42" s="59"/>
      <c r="E42" s="59"/>
      <c r="F42" s="59"/>
      <c r="G42" s="59"/>
    </row>
    <row r="43" spans="2:22" x14ac:dyDescent="0.25">
      <c r="D43" s="3" t="s">
        <v>1</v>
      </c>
      <c r="E43" s="3" t="s">
        <v>2</v>
      </c>
      <c r="F43" s="3" t="s">
        <v>3</v>
      </c>
      <c r="G43" s="3" t="s">
        <v>5</v>
      </c>
    </row>
    <row r="44" spans="2:22" x14ac:dyDescent="0.25">
      <c r="B44" s="7" t="s">
        <v>20</v>
      </c>
      <c r="D44">
        <v>46.245733788395903</v>
      </c>
      <c r="E44">
        <v>3.3333333333333335</v>
      </c>
      <c r="F44">
        <v>45.360824742268044</v>
      </c>
      <c r="G44">
        <v>2.4253731343283582</v>
      </c>
    </row>
    <row r="45" spans="2:22" x14ac:dyDescent="0.25">
      <c r="B45" s="7" t="s">
        <v>22</v>
      </c>
      <c r="D45">
        <v>45.362903225806448</v>
      </c>
      <c r="E45">
        <v>3.4313725490196081</v>
      </c>
      <c r="F45">
        <v>39.702760084925693</v>
      </c>
      <c r="G45">
        <v>4.4802867383512543</v>
      </c>
    </row>
    <row r="46" spans="2:22" x14ac:dyDescent="0.25">
      <c r="B46" s="7" t="s">
        <v>20</v>
      </c>
      <c r="D46">
        <v>49.744897959183675</v>
      </c>
      <c r="E46">
        <v>2.4691358024691357</v>
      </c>
      <c r="F46">
        <v>44.936708860759495</v>
      </c>
      <c r="G46">
        <v>1.4814814814814816</v>
      </c>
    </row>
    <row r="48" spans="2:22" x14ac:dyDescent="0.25">
      <c r="B48" s="5" t="s">
        <v>21</v>
      </c>
      <c r="D48">
        <v>36.272040302267001</v>
      </c>
      <c r="E48">
        <v>13.425925925925927</v>
      </c>
      <c r="F48">
        <v>42.052313883299796</v>
      </c>
      <c r="G48">
        <v>9.9644128113879002</v>
      </c>
    </row>
    <row r="49" spans="2:7" x14ac:dyDescent="0.25">
      <c r="B49" s="5" t="s">
        <v>23</v>
      </c>
      <c r="D49">
        <v>35.570469798657719</v>
      </c>
      <c r="E49">
        <v>7.5435203094777563</v>
      </c>
      <c r="F49">
        <v>42.900302114803623</v>
      </c>
      <c r="G49">
        <v>6.5693430656934311</v>
      </c>
    </row>
    <row r="50" spans="2:7" x14ac:dyDescent="0.25">
      <c r="B50" s="5" t="s">
        <v>24</v>
      </c>
      <c r="D50">
        <v>36.260623229461757</v>
      </c>
      <c r="E50">
        <v>7.0351758793969852</v>
      </c>
      <c r="F50">
        <v>42.035398230088497</v>
      </c>
      <c r="G50">
        <v>4.7505938242280283</v>
      </c>
    </row>
    <row r="53" spans="2:7" x14ac:dyDescent="0.25">
      <c r="B53" s="7" t="s">
        <v>26</v>
      </c>
      <c r="D53">
        <v>50.058343057176188</v>
      </c>
      <c r="E53">
        <v>0.16474464579901155</v>
      </c>
      <c r="F53">
        <v>56.600910470409715</v>
      </c>
      <c r="G53">
        <v>0</v>
      </c>
    </row>
    <row r="54" spans="2:7" x14ac:dyDescent="0.25">
      <c r="B54" s="7" t="s">
        <v>29</v>
      </c>
      <c r="D54">
        <v>52.792553191489368</v>
      </c>
      <c r="E54">
        <f>(E53/F53)*100</f>
        <v>0.29106359673337423</v>
      </c>
      <c r="F54">
        <v>55.045871559633028</v>
      </c>
      <c r="G54">
        <v>0</v>
      </c>
    </row>
    <row r="55" spans="2:7" x14ac:dyDescent="0.25">
      <c r="B55" s="5" t="s">
        <v>28</v>
      </c>
      <c r="D55">
        <v>38.655462184873954</v>
      </c>
      <c r="E55">
        <v>2.4875621890547266</v>
      </c>
      <c r="F55">
        <v>47.467166979362105</v>
      </c>
      <c r="G55">
        <v>2.507836990595611</v>
      </c>
    </row>
    <row r="56" spans="2:7" x14ac:dyDescent="0.25">
      <c r="B56" s="5" t="s">
        <v>27</v>
      </c>
      <c r="D56">
        <v>31.502890173410403</v>
      </c>
      <c r="E56">
        <v>1.5734265734265735</v>
      </c>
      <c r="F56">
        <v>45.550527903469082</v>
      </c>
      <c r="G56">
        <v>1.1320754716981132</v>
      </c>
    </row>
  </sheetData>
  <mergeCells count="1">
    <mergeCell ref="B42:G4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tabSelected="1" zoomScale="83" workbookViewId="0">
      <selection activeCell="M31" sqref="M31"/>
    </sheetView>
  </sheetViews>
  <sheetFormatPr defaultColWidth="11.42578125" defaultRowHeight="15" x14ac:dyDescent="0.25"/>
  <cols>
    <col min="2" max="2" width="18.85546875" bestFit="1" customWidth="1"/>
    <col min="4" max="4" width="16.28515625" bestFit="1" customWidth="1"/>
    <col min="5" max="5" width="16.28515625" customWidth="1"/>
    <col min="6" max="6" width="16.7109375" bestFit="1" customWidth="1"/>
    <col min="8" max="8" width="16.28515625" bestFit="1" customWidth="1"/>
  </cols>
  <sheetData>
    <row r="1" spans="1:9" x14ac:dyDescent="0.25">
      <c r="A1" t="s">
        <v>34</v>
      </c>
      <c r="B1" s="11"/>
    </row>
    <row r="2" spans="1:9" x14ac:dyDescent="0.25">
      <c r="B2" s="11"/>
      <c r="C2" s="11"/>
      <c r="D2" s="11"/>
      <c r="E2" s="11"/>
      <c r="F2" s="11"/>
      <c r="G2" s="11"/>
      <c r="H2" s="11"/>
      <c r="I2" s="11"/>
    </row>
    <row r="3" spans="1:9" ht="15.75" x14ac:dyDescent="0.25">
      <c r="A3" s="12"/>
      <c r="B3" s="13" t="s">
        <v>35</v>
      </c>
      <c r="C3" s="14"/>
      <c r="D3" s="15" t="s">
        <v>1</v>
      </c>
      <c r="E3" s="15" t="s">
        <v>4</v>
      </c>
      <c r="F3" s="16" t="s">
        <v>2</v>
      </c>
      <c r="G3" s="16" t="s">
        <v>4</v>
      </c>
      <c r="H3" s="17" t="s">
        <v>56</v>
      </c>
      <c r="I3" s="18" t="s">
        <v>4</v>
      </c>
    </row>
    <row r="4" spans="1:9" x14ac:dyDescent="0.25">
      <c r="A4" s="12"/>
      <c r="B4" s="4" t="s">
        <v>36</v>
      </c>
      <c r="C4" s="19"/>
      <c r="D4" s="20" t="s">
        <v>6</v>
      </c>
      <c r="E4" s="20" t="s">
        <v>6</v>
      </c>
      <c r="F4" s="21" t="s">
        <v>6</v>
      </c>
      <c r="G4" s="21" t="s">
        <v>6</v>
      </c>
      <c r="H4" s="22" t="s">
        <v>6</v>
      </c>
      <c r="I4" s="23" t="s">
        <v>6</v>
      </c>
    </row>
    <row r="5" spans="1:9" ht="15.75" x14ac:dyDescent="0.25">
      <c r="A5" s="12"/>
      <c r="B5" t="s">
        <v>37</v>
      </c>
      <c r="C5" s="24" t="s">
        <v>38</v>
      </c>
      <c r="D5" s="25">
        <v>103</v>
      </c>
      <c r="E5" s="25">
        <v>433</v>
      </c>
      <c r="F5" s="26">
        <v>121</v>
      </c>
      <c r="G5" s="26">
        <v>430</v>
      </c>
      <c r="H5" s="27">
        <v>34</v>
      </c>
      <c r="I5" s="28">
        <v>288</v>
      </c>
    </row>
    <row r="6" spans="1:9" x14ac:dyDescent="0.25">
      <c r="A6" s="12"/>
      <c r="C6" s="4" t="s">
        <v>39</v>
      </c>
      <c r="D6" s="25">
        <v>62</v>
      </c>
      <c r="E6" s="25">
        <v>237</v>
      </c>
      <c r="F6" s="26">
        <v>98</v>
      </c>
      <c r="G6" s="26">
        <v>296</v>
      </c>
      <c r="H6" s="27">
        <v>25</v>
      </c>
      <c r="I6" s="28">
        <v>296</v>
      </c>
    </row>
    <row r="7" spans="1:9" ht="15.75" x14ac:dyDescent="0.25">
      <c r="A7" s="12"/>
      <c r="C7" s="29" t="s">
        <v>40</v>
      </c>
      <c r="D7" s="25">
        <v>65</v>
      </c>
      <c r="E7" s="25">
        <v>202</v>
      </c>
      <c r="F7" s="26">
        <v>89</v>
      </c>
      <c r="G7" s="26">
        <v>294</v>
      </c>
      <c r="H7" s="27">
        <v>41</v>
      </c>
      <c r="I7" s="28">
        <v>294</v>
      </c>
    </row>
    <row r="8" spans="1:9" ht="15.75" x14ac:dyDescent="0.25">
      <c r="A8" s="12"/>
      <c r="B8" s="11"/>
      <c r="C8" s="30" t="s">
        <v>6</v>
      </c>
      <c r="D8" s="31">
        <v>230</v>
      </c>
      <c r="E8" s="31">
        <v>872</v>
      </c>
      <c r="F8" s="32">
        <v>308</v>
      </c>
      <c r="G8" s="32">
        <v>1020</v>
      </c>
      <c r="H8" s="33">
        <v>100</v>
      </c>
      <c r="I8" s="33">
        <v>878</v>
      </c>
    </row>
    <row r="9" spans="1:9" ht="15.75" x14ac:dyDescent="0.25">
      <c r="A9" s="12"/>
      <c r="B9" t="s">
        <v>41</v>
      </c>
      <c r="C9" s="24" t="s">
        <v>38</v>
      </c>
      <c r="D9" s="25">
        <v>82</v>
      </c>
      <c r="E9" s="25">
        <v>273</v>
      </c>
      <c r="F9" s="26">
        <v>91</v>
      </c>
      <c r="G9" s="26">
        <v>271</v>
      </c>
      <c r="H9" s="27">
        <v>46</v>
      </c>
      <c r="I9" s="28">
        <v>281</v>
      </c>
    </row>
    <row r="10" spans="1:9" x14ac:dyDescent="0.25">
      <c r="A10" s="12"/>
      <c r="C10" s="4" t="s">
        <v>39</v>
      </c>
      <c r="D10" s="25">
        <v>51</v>
      </c>
      <c r="E10" s="25">
        <v>183</v>
      </c>
      <c r="F10" s="26">
        <v>87</v>
      </c>
      <c r="G10" s="26">
        <v>245</v>
      </c>
      <c r="H10" s="27">
        <v>15</v>
      </c>
      <c r="I10" s="28">
        <v>245</v>
      </c>
    </row>
    <row r="11" spans="1:9" ht="15.75" x14ac:dyDescent="0.25">
      <c r="A11" s="12"/>
      <c r="C11" s="29" t="s">
        <v>40</v>
      </c>
      <c r="D11" s="25">
        <v>82</v>
      </c>
      <c r="E11" s="25">
        <v>265</v>
      </c>
      <c r="F11" s="26">
        <v>67</v>
      </c>
      <c r="G11" s="26">
        <v>223</v>
      </c>
      <c r="H11" s="27">
        <v>20</v>
      </c>
      <c r="I11" s="28">
        <v>223</v>
      </c>
    </row>
    <row r="12" spans="1:9" ht="15.75" x14ac:dyDescent="0.25">
      <c r="A12" s="12"/>
      <c r="B12" s="11"/>
      <c r="C12" s="30" t="s">
        <v>6</v>
      </c>
      <c r="D12" s="31">
        <v>215</v>
      </c>
      <c r="E12" s="31">
        <v>721</v>
      </c>
      <c r="F12" s="32">
        <v>245</v>
      </c>
      <c r="G12" s="32">
        <v>739</v>
      </c>
      <c r="H12" s="33">
        <v>81</v>
      </c>
      <c r="I12" s="34">
        <v>749</v>
      </c>
    </row>
    <row r="13" spans="1:9" ht="15.75" x14ac:dyDescent="0.25">
      <c r="A13" s="12"/>
      <c r="B13" t="s">
        <v>42</v>
      </c>
      <c r="C13" s="24" t="s">
        <v>38</v>
      </c>
      <c r="D13" s="25">
        <v>57</v>
      </c>
      <c r="E13" s="25">
        <v>192</v>
      </c>
      <c r="F13" s="26">
        <v>54</v>
      </c>
      <c r="G13" s="26">
        <v>165</v>
      </c>
      <c r="H13" s="27">
        <v>24</v>
      </c>
      <c r="I13" s="28">
        <v>184</v>
      </c>
    </row>
    <row r="14" spans="1:9" x14ac:dyDescent="0.25">
      <c r="A14" s="12"/>
      <c r="C14" s="4" t="s">
        <v>39</v>
      </c>
      <c r="D14" s="25">
        <v>77</v>
      </c>
      <c r="E14" s="25">
        <v>273</v>
      </c>
      <c r="F14" s="26">
        <v>99</v>
      </c>
      <c r="G14" s="26">
        <v>308</v>
      </c>
      <c r="H14" s="27">
        <v>36</v>
      </c>
      <c r="I14" s="28">
        <v>308</v>
      </c>
    </row>
    <row r="15" spans="1:9" ht="15.75" x14ac:dyDescent="0.25">
      <c r="A15" s="12"/>
      <c r="C15" s="29" t="s">
        <v>40</v>
      </c>
      <c r="D15" s="25">
        <v>61</v>
      </c>
      <c r="E15" s="25">
        <v>212</v>
      </c>
      <c r="F15" s="26">
        <v>80</v>
      </c>
      <c r="G15" s="26">
        <v>278</v>
      </c>
      <c r="H15" s="27">
        <v>35</v>
      </c>
      <c r="I15" s="28">
        <v>278</v>
      </c>
    </row>
    <row r="16" spans="1:9" ht="15.75" x14ac:dyDescent="0.25">
      <c r="A16" s="12"/>
      <c r="B16" s="11"/>
      <c r="C16" s="35" t="s">
        <v>6</v>
      </c>
      <c r="D16" s="31">
        <v>195</v>
      </c>
      <c r="E16" s="31">
        <v>677</v>
      </c>
      <c r="F16" s="32">
        <v>233</v>
      </c>
      <c r="G16" s="32">
        <v>751</v>
      </c>
      <c r="H16" s="33">
        <v>95</v>
      </c>
      <c r="I16" s="34">
        <v>770</v>
      </c>
    </row>
    <row r="17" spans="2:9" x14ac:dyDescent="0.25">
      <c r="C17" s="37" t="s">
        <v>37</v>
      </c>
      <c r="D17" s="38">
        <v>26.376146788990823</v>
      </c>
      <c r="E17" s="38"/>
      <c r="F17" s="39">
        <v>30.196078431372548</v>
      </c>
      <c r="G17" s="39"/>
      <c r="H17" s="40">
        <v>11.389521640091116</v>
      </c>
      <c r="I17" s="41"/>
    </row>
    <row r="18" spans="2:9" x14ac:dyDescent="0.25">
      <c r="C18" s="42" t="s">
        <v>41</v>
      </c>
      <c r="D18" s="25">
        <v>29.819694868238557</v>
      </c>
      <c r="E18" s="25"/>
      <c r="F18" s="26">
        <v>33.152909336941818</v>
      </c>
      <c r="G18" s="26"/>
      <c r="H18" s="27">
        <v>10.814419225634179</v>
      </c>
      <c r="I18" s="28"/>
    </row>
    <row r="19" spans="2:9" x14ac:dyDescent="0.25">
      <c r="C19" s="43" t="s">
        <v>42</v>
      </c>
      <c r="D19" s="44">
        <v>28.80354505169867</v>
      </c>
      <c r="E19" s="44"/>
      <c r="F19" s="45">
        <v>31.025299600532623</v>
      </c>
      <c r="G19" s="45"/>
      <c r="H19" s="46">
        <v>12.337662337662337</v>
      </c>
      <c r="I19" s="47"/>
    </row>
    <row r="22" spans="2:9" ht="15.75" x14ac:dyDescent="0.25">
      <c r="B22" s="48" t="s">
        <v>43</v>
      </c>
      <c r="C22" s="49"/>
      <c r="D22" s="50" t="s">
        <v>1</v>
      </c>
      <c r="E22" s="50" t="s">
        <v>4</v>
      </c>
      <c r="F22" s="51" t="s">
        <v>2</v>
      </c>
      <c r="G22" s="51" t="s">
        <v>4</v>
      </c>
      <c r="H22" s="17" t="s">
        <v>56</v>
      </c>
      <c r="I22" s="18" t="s">
        <v>4</v>
      </c>
    </row>
    <row r="23" spans="2:9" x14ac:dyDescent="0.25">
      <c r="B23" s="52" t="s">
        <v>36</v>
      </c>
      <c r="D23" s="20" t="s">
        <v>6</v>
      </c>
      <c r="E23" s="20" t="s">
        <v>6</v>
      </c>
      <c r="F23" s="21" t="s">
        <v>6</v>
      </c>
      <c r="G23" s="21" t="s">
        <v>6</v>
      </c>
      <c r="H23" s="22" t="s">
        <v>6</v>
      </c>
      <c r="I23" s="23" t="s">
        <v>6</v>
      </c>
    </row>
    <row r="24" spans="2:9" ht="15.75" x14ac:dyDescent="0.25">
      <c r="B24" s="42" t="s">
        <v>44</v>
      </c>
      <c r="C24" s="24" t="s">
        <v>38</v>
      </c>
      <c r="D24" s="25">
        <v>36</v>
      </c>
      <c r="E24" s="25">
        <v>147</v>
      </c>
      <c r="F24" s="26">
        <v>50</v>
      </c>
      <c r="G24" s="26">
        <v>141</v>
      </c>
      <c r="H24" s="27">
        <v>12</v>
      </c>
      <c r="I24" s="28">
        <v>136</v>
      </c>
    </row>
    <row r="25" spans="2:9" x14ac:dyDescent="0.25">
      <c r="B25" s="42"/>
      <c r="C25" s="4" t="s">
        <v>39</v>
      </c>
      <c r="D25" s="25">
        <v>107</v>
      </c>
      <c r="E25" s="25">
        <v>330</v>
      </c>
      <c r="F25" s="26">
        <v>110</v>
      </c>
      <c r="G25" s="26">
        <v>336</v>
      </c>
      <c r="H25" s="27">
        <v>28</v>
      </c>
      <c r="I25" s="28">
        <v>336</v>
      </c>
    </row>
    <row r="26" spans="2:9" ht="15.75" x14ac:dyDescent="0.25">
      <c r="B26" s="42"/>
      <c r="C26" s="29" t="s">
        <v>40</v>
      </c>
      <c r="D26" s="25">
        <v>105</v>
      </c>
      <c r="E26" s="25">
        <v>286</v>
      </c>
      <c r="F26" s="26">
        <v>82</v>
      </c>
      <c r="G26" s="26">
        <v>217</v>
      </c>
      <c r="H26" s="27">
        <v>16</v>
      </c>
      <c r="I26" s="28">
        <v>217</v>
      </c>
    </row>
    <row r="27" spans="2:9" ht="15.75" x14ac:dyDescent="0.25">
      <c r="B27" s="43"/>
      <c r="C27" s="30" t="s">
        <v>6</v>
      </c>
      <c r="D27" s="31">
        <v>248</v>
      </c>
      <c r="E27" s="31">
        <v>763</v>
      </c>
      <c r="F27" s="32">
        <v>242</v>
      </c>
      <c r="G27" s="32">
        <v>694</v>
      </c>
      <c r="H27" s="33">
        <v>56</v>
      </c>
      <c r="I27" s="34">
        <v>689</v>
      </c>
    </row>
    <row r="28" spans="2:9" ht="15.75" x14ac:dyDescent="0.25">
      <c r="B28" s="42" t="s">
        <v>45</v>
      </c>
      <c r="C28" s="24" t="s">
        <v>38</v>
      </c>
      <c r="D28" s="25">
        <v>42</v>
      </c>
      <c r="E28" s="25">
        <v>187</v>
      </c>
      <c r="F28" s="26">
        <v>67</v>
      </c>
      <c r="G28" s="26">
        <v>187</v>
      </c>
      <c r="H28" s="27">
        <v>22</v>
      </c>
      <c r="I28" s="28">
        <v>202</v>
      </c>
    </row>
    <row r="29" spans="2:9" x14ac:dyDescent="0.25">
      <c r="B29" s="42"/>
      <c r="C29" s="4" t="s">
        <v>39</v>
      </c>
      <c r="D29" s="25">
        <v>70</v>
      </c>
      <c r="E29" s="25">
        <v>200</v>
      </c>
      <c r="F29" s="26">
        <v>83</v>
      </c>
      <c r="G29" s="26">
        <v>199</v>
      </c>
      <c r="H29" s="27">
        <v>25</v>
      </c>
      <c r="I29" s="28">
        <v>199</v>
      </c>
    </row>
    <row r="30" spans="2:9" ht="15.75" x14ac:dyDescent="0.25">
      <c r="B30" s="42"/>
      <c r="C30" s="29" t="s">
        <v>40</v>
      </c>
      <c r="D30" s="25">
        <v>59</v>
      </c>
      <c r="E30" s="25">
        <v>181</v>
      </c>
      <c r="F30" s="26">
        <v>116</v>
      </c>
      <c r="G30" s="26">
        <v>251</v>
      </c>
      <c r="H30" s="27">
        <v>14</v>
      </c>
      <c r="I30" s="28">
        <v>251</v>
      </c>
    </row>
    <row r="31" spans="2:9" ht="15.75" x14ac:dyDescent="0.25">
      <c r="B31" s="43"/>
      <c r="C31" s="30" t="s">
        <v>6</v>
      </c>
      <c r="D31" s="31">
        <v>171</v>
      </c>
      <c r="E31" s="31">
        <v>568</v>
      </c>
      <c r="F31" s="32">
        <v>266</v>
      </c>
      <c r="G31" s="32">
        <v>637</v>
      </c>
      <c r="H31" s="33">
        <v>61</v>
      </c>
      <c r="I31" s="34">
        <v>652</v>
      </c>
    </row>
    <row r="32" spans="2:9" ht="15.75" x14ac:dyDescent="0.25">
      <c r="B32" s="42" t="s">
        <v>46</v>
      </c>
      <c r="C32" s="24" t="s">
        <v>38</v>
      </c>
      <c r="D32" s="25">
        <v>50</v>
      </c>
      <c r="E32" s="25">
        <v>227</v>
      </c>
      <c r="F32" s="26">
        <v>64</v>
      </c>
      <c r="G32" s="26">
        <v>160</v>
      </c>
      <c r="H32" s="27">
        <v>23</v>
      </c>
      <c r="I32" s="28">
        <v>113</v>
      </c>
    </row>
    <row r="33" spans="2:9" x14ac:dyDescent="0.25">
      <c r="B33" s="42"/>
      <c r="C33" s="4" t="s">
        <v>39</v>
      </c>
      <c r="D33" s="25">
        <v>88</v>
      </c>
      <c r="E33" s="25">
        <v>267</v>
      </c>
      <c r="F33" s="26">
        <v>101</v>
      </c>
      <c r="G33" s="26">
        <v>300</v>
      </c>
      <c r="H33" s="27">
        <v>32</v>
      </c>
      <c r="I33" s="28">
        <v>300</v>
      </c>
    </row>
    <row r="34" spans="2:9" ht="15.75" x14ac:dyDescent="0.25">
      <c r="B34" s="42"/>
      <c r="C34" s="29" t="s">
        <v>40</v>
      </c>
      <c r="D34" s="25">
        <v>87</v>
      </c>
      <c r="E34" s="25">
        <v>313</v>
      </c>
      <c r="F34" s="26">
        <v>107</v>
      </c>
      <c r="G34" s="26">
        <v>327</v>
      </c>
      <c r="H34" s="27">
        <v>33</v>
      </c>
      <c r="I34" s="28">
        <v>327</v>
      </c>
    </row>
    <row r="35" spans="2:9" ht="15.75" x14ac:dyDescent="0.25">
      <c r="B35" s="43"/>
      <c r="C35" s="30" t="s">
        <v>6</v>
      </c>
      <c r="D35" s="31">
        <v>225</v>
      </c>
      <c r="E35" s="31">
        <v>807</v>
      </c>
      <c r="F35" s="32">
        <v>272</v>
      </c>
      <c r="G35" s="32">
        <v>787</v>
      </c>
      <c r="H35" s="33">
        <v>88</v>
      </c>
      <c r="I35" s="34">
        <v>740</v>
      </c>
    </row>
    <row r="36" spans="2:9" x14ac:dyDescent="0.25">
      <c r="C36" s="42" t="s">
        <v>44</v>
      </c>
      <c r="D36" s="25">
        <v>32.503276539973783</v>
      </c>
      <c r="E36" s="25"/>
      <c r="F36" s="26">
        <v>34.870317002881848</v>
      </c>
      <c r="G36" s="39"/>
      <c r="H36" s="27">
        <v>8.1277213352685056</v>
      </c>
      <c r="I36" s="41"/>
    </row>
    <row r="37" spans="2:9" x14ac:dyDescent="0.25">
      <c r="C37" s="42" t="s">
        <v>45</v>
      </c>
      <c r="D37" s="25">
        <v>30.1056338028169</v>
      </c>
      <c r="E37" s="25"/>
      <c r="F37" s="26">
        <v>41.758241758241759</v>
      </c>
      <c r="G37" s="26"/>
      <c r="H37" s="27">
        <v>9.3558282208588963</v>
      </c>
      <c r="I37" s="28"/>
    </row>
    <row r="38" spans="2:9" x14ac:dyDescent="0.25">
      <c r="C38" s="43" t="s">
        <v>46</v>
      </c>
      <c r="D38" s="44">
        <v>27.881040892193308</v>
      </c>
      <c r="E38" s="44"/>
      <c r="F38" s="45">
        <v>34.561626429479034</v>
      </c>
      <c r="G38" s="45"/>
      <c r="H38" s="46">
        <v>11.891891891891893</v>
      </c>
      <c r="I38" s="47"/>
    </row>
    <row r="42" spans="2:9" ht="15.75" x14ac:dyDescent="0.25">
      <c r="B42" s="53" t="s">
        <v>47</v>
      </c>
      <c r="C42" s="49"/>
      <c r="D42" s="50" t="s">
        <v>1</v>
      </c>
      <c r="E42" s="50" t="s">
        <v>4</v>
      </c>
      <c r="F42" s="51" t="s">
        <v>2</v>
      </c>
      <c r="G42" s="51" t="s">
        <v>4</v>
      </c>
      <c r="H42" s="58" t="s">
        <v>56</v>
      </c>
      <c r="I42" s="18" t="s">
        <v>4</v>
      </c>
    </row>
    <row r="43" spans="2:9" x14ac:dyDescent="0.25">
      <c r="B43" s="52" t="s">
        <v>36</v>
      </c>
      <c r="D43" s="20" t="s">
        <v>6</v>
      </c>
      <c r="E43" s="20" t="s">
        <v>6</v>
      </c>
      <c r="F43" s="21" t="s">
        <v>6</v>
      </c>
      <c r="G43" s="21" t="s">
        <v>6</v>
      </c>
      <c r="H43" s="22" t="s">
        <v>6</v>
      </c>
      <c r="I43" s="23" t="s">
        <v>6</v>
      </c>
    </row>
    <row r="44" spans="2:9" ht="15.75" x14ac:dyDescent="0.25">
      <c r="B44" s="42" t="s">
        <v>48</v>
      </c>
      <c r="C44" s="24" t="s">
        <v>38</v>
      </c>
      <c r="D44" s="25">
        <v>53</v>
      </c>
      <c r="E44" s="25">
        <v>203</v>
      </c>
      <c r="F44" s="26">
        <v>176</v>
      </c>
      <c r="G44" s="26">
        <v>326</v>
      </c>
      <c r="H44" s="27">
        <v>11</v>
      </c>
      <c r="I44" s="28">
        <v>137</v>
      </c>
    </row>
    <row r="45" spans="2:9" x14ac:dyDescent="0.25">
      <c r="B45" s="42"/>
      <c r="C45" s="4" t="s">
        <v>39</v>
      </c>
      <c r="D45" s="25">
        <v>61</v>
      </c>
      <c r="E45" s="25">
        <v>187</v>
      </c>
      <c r="F45" s="26">
        <v>120</v>
      </c>
      <c r="G45" s="26">
        <v>237</v>
      </c>
      <c r="H45" s="27">
        <v>15</v>
      </c>
      <c r="I45" s="28">
        <v>237</v>
      </c>
    </row>
    <row r="46" spans="2:9" ht="15.75" x14ac:dyDescent="0.25">
      <c r="B46" s="42"/>
      <c r="C46" s="29" t="s">
        <v>40</v>
      </c>
      <c r="D46" s="25">
        <v>51</v>
      </c>
      <c r="E46" s="25">
        <v>172</v>
      </c>
      <c r="F46" s="26">
        <v>116</v>
      </c>
      <c r="G46" s="26">
        <v>238</v>
      </c>
      <c r="H46" s="27">
        <v>8</v>
      </c>
      <c r="I46" s="28">
        <v>238</v>
      </c>
    </row>
    <row r="47" spans="2:9" ht="15.75" x14ac:dyDescent="0.25">
      <c r="B47" s="42"/>
      <c r="C47" s="30" t="s">
        <v>6</v>
      </c>
      <c r="D47" s="31">
        <v>165</v>
      </c>
      <c r="E47" s="31">
        <v>562</v>
      </c>
      <c r="F47" s="32">
        <v>412</v>
      </c>
      <c r="G47" s="32">
        <v>801</v>
      </c>
      <c r="H47" s="33">
        <v>34</v>
      </c>
      <c r="I47" s="34">
        <v>612</v>
      </c>
    </row>
    <row r="48" spans="2:9" ht="15.75" x14ac:dyDescent="0.25">
      <c r="B48" s="42" t="s">
        <v>49</v>
      </c>
      <c r="C48" s="24" t="s">
        <v>38</v>
      </c>
      <c r="D48" s="38">
        <v>41</v>
      </c>
      <c r="E48" s="38">
        <v>119</v>
      </c>
      <c r="F48" s="39">
        <v>56</v>
      </c>
      <c r="G48" s="39">
        <v>105</v>
      </c>
      <c r="H48" s="40">
        <v>8</v>
      </c>
      <c r="I48" s="41">
        <v>117</v>
      </c>
    </row>
    <row r="49" spans="2:10" x14ac:dyDescent="0.25">
      <c r="B49" s="42"/>
      <c r="C49" s="4" t="s">
        <v>39</v>
      </c>
      <c r="D49" s="25">
        <v>57</v>
      </c>
      <c r="E49" s="25">
        <v>194</v>
      </c>
      <c r="F49" s="26">
        <v>75</v>
      </c>
      <c r="G49" s="26">
        <v>161</v>
      </c>
      <c r="H49" s="27">
        <v>11</v>
      </c>
      <c r="I49" s="28">
        <v>161</v>
      </c>
    </row>
    <row r="50" spans="2:10" ht="15.75" x14ac:dyDescent="0.25">
      <c r="B50" s="42"/>
      <c r="C50" s="29" t="s">
        <v>40</v>
      </c>
      <c r="D50" s="25">
        <v>64</v>
      </c>
      <c r="E50" s="25">
        <v>202</v>
      </c>
      <c r="F50" s="26">
        <v>65</v>
      </c>
      <c r="G50" s="26">
        <v>135</v>
      </c>
      <c r="H50" s="27">
        <v>9</v>
      </c>
      <c r="I50" s="28">
        <v>135</v>
      </c>
    </row>
    <row r="51" spans="2:10" ht="15.75" x14ac:dyDescent="0.25">
      <c r="B51" s="43"/>
      <c r="C51" s="30" t="s">
        <v>6</v>
      </c>
      <c r="D51" s="31">
        <v>162</v>
      </c>
      <c r="E51" s="31">
        <v>515</v>
      </c>
      <c r="F51" s="32">
        <v>196</v>
      </c>
      <c r="G51" s="32">
        <v>401</v>
      </c>
      <c r="H51" s="33">
        <v>28</v>
      </c>
      <c r="I51" s="34">
        <v>413</v>
      </c>
    </row>
    <row r="52" spans="2:10" ht="15.75" x14ac:dyDescent="0.25">
      <c r="B52" s="42" t="s">
        <v>50</v>
      </c>
      <c r="C52" s="24" t="s">
        <v>38</v>
      </c>
      <c r="D52" s="38">
        <v>43</v>
      </c>
      <c r="E52" s="38">
        <v>123</v>
      </c>
      <c r="F52" s="39">
        <v>56</v>
      </c>
      <c r="G52" s="39">
        <v>108</v>
      </c>
      <c r="H52" s="40">
        <v>0</v>
      </c>
      <c r="I52" s="41">
        <v>0</v>
      </c>
      <c r="J52" t="s">
        <v>51</v>
      </c>
    </row>
    <row r="53" spans="2:10" x14ac:dyDescent="0.25">
      <c r="B53" s="42"/>
      <c r="C53" t="s">
        <v>39</v>
      </c>
      <c r="D53" s="25">
        <v>75</v>
      </c>
      <c r="E53" s="25">
        <v>208</v>
      </c>
      <c r="F53" s="26">
        <v>98</v>
      </c>
      <c r="G53" s="26">
        <v>196</v>
      </c>
      <c r="H53" s="27">
        <v>12</v>
      </c>
      <c r="I53" s="28">
        <v>196</v>
      </c>
    </row>
    <row r="54" spans="2:10" ht="15.75" x14ac:dyDescent="0.25">
      <c r="B54" s="42"/>
      <c r="C54" s="29" t="s">
        <v>40</v>
      </c>
      <c r="D54" s="25">
        <v>84</v>
      </c>
      <c r="E54" s="25">
        <v>268</v>
      </c>
      <c r="F54" s="26">
        <v>103</v>
      </c>
      <c r="G54" s="26">
        <v>214</v>
      </c>
      <c r="H54" s="27">
        <v>11</v>
      </c>
      <c r="I54" s="28">
        <v>214</v>
      </c>
    </row>
    <row r="55" spans="2:10" ht="15.75" x14ac:dyDescent="0.25">
      <c r="B55" s="43"/>
      <c r="C55" s="30" t="s">
        <v>6</v>
      </c>
      <c r="D55" s="31">
        <v>202</v>
      </c>
      <c r="E55" s="31">
        <v>599</v>
      </c>
      <c r="F55" s="32">
        <v>257</v>
      </c>
      <c r="G55" s="32">
        <v>518</v>
      </c>
      <c r="H55" s="33">
        <v>23</v>
      </c>
      <c r="I55" s="34">
        <v>410</v>
      </c>
    </row>
    <row r="56" spans="2:10" x14ac:dyDescent="0.25">
      <c r="C56" s="42" t="s">
        <v>48</v>
      </c>
      <c r="D56" s="38">
        <v>29.359430604982208</v>
      </c>
      <c r="E56" s="38"/>
      <c r="F56" s="39">
        <v>51.435705368289639</v>
      </c>
      <c r="G56" s="39"/>
      <c r="H56" s="40">
        <v>5.5555555555555554</v>
      </c>
      <c r="I56" s="41"/>
    </row>
    <row r="57" spans="2:10" x14ac:dyDescent="0.25">
      <c r="C57" s="42" t="s">
        <v>49</v>
      </c>
      <c r="D57" s="25">
        <v>31.456310679611647</v>
      </c>
      <c r="E57" s="25"/>
      <c r="F57" s="26">
        <v>48.877805486284288</v>
      </c>
      <c r="G57" s="26"/>
      <c r="H57" s="27">
        <v>6.7796610169491522</v>
      </c>
      <c r="I57" s="28"/>
    </row>
    <row r="58" spans="2:10" x14ac:dyDescent="0.25">
      <c r="C58" s="43" t="s">
        <v>50</v>
      </c>
      <c r="D58" s="44">
        <v>33.722871452420698</v>
      </c>
      <c r="E58" s="44"/>
      <c r="F58" s="45">
        <v>49.613899613899612</v>
      </c>
      <c r="G58" s="45"/>
      <c r="H58" s="46">
        <v>5.6097560975609762</v>
      </c>
      <c r="I58" s="47"/>
    </row>
    <row r="61" spans="2:10" ht="15.75" x14ac:dyDescent="0.25">
      <c r="B61" s="55" t="s">
        <v>52</v>
      </c>
      <c r="C61" s="49"/>
      <c r="D61" s="50" t="s">
        <v>1</v>
      </c>
      <c r="E61" s="50" t="s">
        <v>4</v>
      </c>
      <c r="F61" s="51" t="s">
        <v>2</v>
      </c>
      <c r="G61" s="51" t="s">
        <v>4</v>
      </c>
      <c r="H61" s="17" t="s">
        <v>56</v>
      </c>
      <c r="I61" s="18" t="s">
        <v>4</v>
      </c>
    </row>
    <row r="62" spans="2:10" x14ac:dyDescent="0.25">
      <c r="B62" s="52" t="s">
        <v>36</v>
      </c>
      <c r="D62" s="20" t="s">
        <v>6</v>
      </c>
      <c r="E62" s="20" t="s">
        <v>6</v>
      </c>
      <c r="F62" s="21" t="s">
        <v>6</v>
      </c>
      <c r="G62" s="21" t="s">
        <v>6</v>
      </c>
      <c r="H62" s="22" t="s">
        <v>6</v>
      </c>
      <c r="I62" s="23" t="s">
        <v>6</v>
      </c>
    </row>
    <row r="63" spans="2:10" ht="15.75" x14ac:dyDescent="0.25">
      <c r="B63" s="42" t="s">
        <v>53</v>
      </c>
      <c r="C63" s="24" t="s">
        <v>38</v>
      </c>
      <c r="D63" s="25">
        <v>19</v>
      </c>
      <c r="E63" s="25">
        <v>175</v>
      </c>
      <c r="F63" s="26">
        <v>98</v>
      </c>
      <c r="G63" s="26">
        <v>232</v>
      </c>
      <c r="H63" s="27">
        <v>18</v>
      </c>
      <c r="I63" s="28">
        <v>146</v>
      </c>
    </row>
    <row r="64" spans="2:10" x14ac:dyDescent="0.25">
      <c r="B64" s="42"/>
      <c r="C64" s="4" t="s">
        <v>39</v>
      </c>
      <c r="D64" s="25">
        <v>45</v>
      </c>
      <c r="E64" s="25">
        <v>227</v>
      </c>
      <c r="F64" s="26">
        <v>66</v>
      </c>
      <c r="G64" s="26">
        <v>292</v>
      </c>
      <c r="H64" s="27">
        <v>28</v>
      </c>
      <c r="I64" s="28">
        <v>292</v>
      </c>
    </row>
    <row r="65" spans="2:9" ht="15.75" x14ac:dyDescent="0.25">
      <c r="B65" s="42"/>
      <c r="C65" s="29" t="s">
        <v>40</v>
      </c>
      <c r="D65" s="25">
        <v>64</v>
      </c>
      <c r="E65" s="25">
        <v>224</v>
      </c>
      <c r="F65" s="26">
        <v>91</v>
      </c>
      <c r="G65" s="26">
        <v>213</v>
      </c>
      <c r="H65" s="27">
        <v>12</v>
      </c>
      <c r="I65" s="28">
        <v>213</v>
      </c>
    </row>
    <row r="66" spans="2:9" ht="15.75" x14ac:dyDescent="0.25">
      <c r="B66" s="43"/>
      <c r="C66" s="30" t="s">
        <v>6</v>
      </c>
      <c r="D66" s="31">
        <v>128</v>
      </c>
      <c r="E66" s="31">
        <v>626</v>
      </c>
      <c r="F66" s="32">
        <v>255</v>
      </c>
      <c r="G66" s="32">
        <v>737</v>
      </c>
      <c r="H66" s="33">
        <v>58</v>
      </c>
      <c r="I66" s="34">
        <v>651</v>
      </c>
    </row>
    <row r="67" spans="2:9" ht="15.75" x14ac:dyDescent="0.25">
      <c r="B67" s="37" t="s">
        <v>54</v>
      </c>
      <c r="C67" s="54" t="s">
        <v>38</v>
      </c>
      <c r="D67" s="38">
        <v>88</v>
      </c>
      <c r="E67" s="38">
        <v>319</v>
      </c>
      <c r="F67" s="39">
        <v>134</v>
      </c>
      <c r="G67" s="39">
        <v>401</v>
      </c>
      <c r="H67" s="40">
        <v>23</v>
      </c>
      <c r="I67" s="41">
        <v>222</v>
      </c>
    </row>
    <row r="68" spans="2:9" x14ac:dyDescent="0.25">
      <c r="B68" s="42"/>
      <c r="C68" s="4" t="s">
        <v>39</v>
      </c>
      <c r="D68" s="25">
        <v>70</v>
      </c>
      <c r="E68" s="25">
        <v>264</v>
      </c>
      <c r="F68" s="26">
        <v>60</v>
      </c>
      <c r="G68" s="26">
        <v>236</v>
      </c>
      <c r="H68" s="27">
        <v>26</v>
      </c>
      <c r="I68" s="28">
        <v>236</v>
      </c>
    </row>
    <row r="69" spans="2:9" ht="15.75" x14ac:dyDescent="0.25">
      <c r="B69" s="42"/>
      <c r="C69" s="29" t="s">
        <v>40</v>
      </c>
      <c r="D69" s="25">
        <v>73</v>
      </c>
      <c r="E69" s="25">
        <v>289</v>
      </c>
      <c r="F69" s="26">
        <v>63</v>
      </c>
      <c r="G69" s="26">
        <v>272</v>
      </c>
      <c r="H69" s="27">
        <v>22</v>
      </c>
      <c r="I69" s="28">
        <v>272</v>
      </c>
    </row>
    <row r="70" spans="2:9" ht="15.75" x14ac:dyDescent="0.25">
      <c r="B70" s="43"/>
      <c r="C70" s="30" t="s">
        <v>6</v>
      </c>
      <c r="D70" s="31">
        <v>231</v>
      </c>
      <c r="E70" s="31">
        <v>872</v>
      </c>
      <c r="F70" s="32">
        <v>257</v>
      </c>
      <c r="G70" s="32">
        <v>909</v>
      </c>
      <c r="H70" s="33">
        <v>71</v>
      </c>
      <c r="I70" s="34">
        <v>730</v>
      </c>
    </row>
    <row r="71" spans="2:9" ht="15.75" x14ac:dyDescent="0.25">
      <c r="B71" s="37" t="s">
        <v>55</v>
      </c>
      <c r="C71" s="54" t="s">
        <v>38</v>
      </c>
      <c r="D71" s="38">
        <v>70</v>
      </c>
      <c r="E71" s="38">
        <v>239</v>
      </c>
      <c r="F71" s="39">
        <v>82</v>
      </c>
      <c r="G71" s="26">
        <v>226</v>
      </c>
      <c r="H71" s="27">
        <v>35</v>
      </c>
      <c r="I71" s="41">
        <v>277</v>
      </c>
    </row>
    <row r="72" spans="2:9" x14ac:dyDescent="0.25">
      <c r="B72" s="42"/>
      <c r="C72" s="4" t="s">
        <v>39</v>
      </c>
      <c r="D72" s="25">
        <v>81</v>
      </c>
      <c r="E72" s="25">
        <v>284</v>
      </c>
      <c r="F72" s="26">
        <v>81</v>
      </c>
      <c r="G72" s="26">
        <v>296</v>
      </c>
      <c r="H72" s="27">
        <v>20</v>
      </c>
      <c r="I72" s="28">
        <v>296</v>
      </c>
    </row>
    <row r="73" spans="2:9" ht="15.75" x14ac:dyDescent="0.25">
      <c r="B73" s="42"/>
      <c r="C73" s="29" t="s">
        <v>40</v>
      </c>
      <c r="D73" s="25">
        <v>73</v>
      </c>
      <c r="E73" s="25">
        <v>281</v>
      </c>
      <c r="F73" s="26">
        <v>66</v>
      </c>
      <c r="G73" s="26">
        <v>272</v>
      </c>
      <c r="H73" s="27">
        <v>17</v>
      </c>
      <c r="I73" s="28">
        <v>272</v>
      </c>
    </row>
    <row r="74" spans="2:9" ht="15.75" x14ac:dyDescent="0.25">
      <c r="B74" s="43"/>
      <c r="C74" s="35" t="s">
        <v>6</v>
      </c>
      <c r="D74" s="31">
        <v>224</v>
      </c>
      <c r="E74" s="31">
        <v>804</v>
      </c>
      <c r="F74" s="32">
        <v>229</v>
      </c>
      <c r="G74" s="32">
        <v>794</v>
      </c>
      <c r="H74" s="33">
        <v>72</v>
      </c>
      <c r="I74" s="34">
        <v>845</v>
      </c>
    </row>
    <row r="75" spans="2:9" x14ac:dyDescent="0.25">
      <c r="C75" s="36" t="s">
        <v>53</v>
      </c>
      <c r="D75" s="38">
        <v>20.447284345047922</v>
      </c>
      <c r="E75" s="38"/>
      <c r="F75" s="39">
        <v>34.599728629579374</v>
      </c>
      <c r="G75" s="39"/>
      <c r="H75" s="40">
        <v>8.9093701996927805</v>
      </c>
      <c r="I75" s="41"/>
    </row>
    <row r="76" spans="2:9" x14ac:dyDescent="0.25">
      <c r="C76" s="42" t="s">
        <v>54</v>
      </c>
      <c r="D76" s="25">
        <v>26.490825688073393</v>
      </c>
      <c r="E76" s="25"/>
      <c r="F76" s="26">
        <v>28.272827282728276</v>
      </c>
      <c r="G76" s="26"/>
      <c r="H76" s="27">
        <v>9.7260273972602747</v>
      </c>
      <c r="I76" s="28"/>
    </row>
    <row r="77" spans="2:9" x14ac:dyDescent="0.25">
      <c r="C77" s="43" t="s">
        <v>55</v>
      </c>
      <c r="D77" s="44">
        <v>29.288702928870293</v>
      </c>
      <c r="E77" s="44"/>
      <c r="F77" s="45">
        <v>28.84130982367758</v>
      </c>
      <c r="G77" s="45"/>
      <c r="H77" s="46">
        <v>8.5207100591715967</v>
      </c>
      <c r="I77" s="47"/>
    </row>
    <row r="78" spans="2:9" x14ac:dyDescent="0.25">
      <c r="B78" s="57"/>
    </row>
    <row r="79" spans="2:9" s="56" customFormat="1" ht="15.95" customHeight="1" x14ac:dyDescent="0.25"/>
    <row r="80" spans="2:9" s="56" customFormat="1" x14ac:dyDescent="0.25"/>
    <row r="81" s="56" customFormat="1" ht="15.95" customHeight="1" x14ac:dyDescent="0.25"/>
    <row r="82" s="56" customFormat="1" x14ac:dyDescent="0.25"/>
    <row r="83" s="56" customFormat="1" ht="15.95" customHeight="1" x14ac:dyDescent="0.25"/>
    <row r="84" s="56" customFormat="1" ht="15.95" customHeight="1" x14ac:dyDescent="0.25"/>
    <row r="85" s="56" customFormat="1" x14ac:dyDescent="0.25"/>
    <row r="86" s="57" customFormat="1" x14ac:dyDescent="0.25"/>
    <row r="87" s="57" customForma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Fig3 A-D  S21KO E14.5</vt:lpstr>
      <vt:lpstr>Sup Fig 3A-D S2 HET E14.5</vt:lpstr>
      <vt:lpstr>Fig3E SupFig3E S21 S2 HET E18.5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Eenjes</dc:creator>
  <cp:lastModifiedBy>R.J. Rottier</cp:lastModifiedBy>
  <dcterms:created xsi:type="dcterms:W3CDTF">2019-07-02T14:20:10Z</dcterms:created>
  <dcterms:modified xsi:type="dcterms:W3CDTF">2021-05-18T08:00:42Z</dcterms:modified>
</cp:coreProperties>
</file>