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tiff" ContentType="image/tif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13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/Users/magdaatilano/Desktop/manuscript elife 05_02_21_/"/>
    </mc:Choice>
  </mc:AlternateContent>
  <xr:revisionPtr revIDLastSave="0" documentId="8_{5BAEBBD3-9545-B14A-8E52-ABFFEA28889C}" xr6:coauthVersionLast="45" xr6:coauthVersionMax="45" xr10:uidLastSave="{00000000-0000-0000-0000-000000000000}"/>
  <bookViews>
    <workbookView xWindow="0" yWindow="460" windowWidth="28800" windowHeight="16600" activeTab="2" xr2:uid="{00000000-000D-0000-FFFF-FFFF00000000}"/>
  </bookViews>
  <sheets>
    <sheet name="BCA 750nm" sheetId="1" r:id="rId1"/>
    <sheet name="MSD plate maps" sheetId="2" r:id="rId2"/>
    <sheet name="E heads results" sheetId="3" r:id="rId3"/>
    <sheet name="Sheet1" sheetId="5" r:id="rId4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52" i="3" l="1"/>
  <c r="E52" i="3"/>
  <c r="F52" i="3"/>
  <c r="G52" i="3"/>
  <c r="I52" i="3"/>
  <c r="D53" i="3"/>
  <c r="E53" i="3"/>
  <c r="F53" i="3"/>
  <c r="G53" i="3"/>
  <c r="I53" i="3"/>
  <c r="D54" i="3"/>
  <c r="E54" i="3"/>
  <c r="F54" i="3"/>
  <c r="G54" i="3"/>
  <c r="I54" i="3"/>
  <c r="D56" i="3"/>
  <c r="E56" i="3"/>
  <c r="F56" i="3"/>
  <c r="G56" i="3"/>
  <c r="I56" i="3"/>
  <c r="D49" i="3"/>
  <c r="E49" i="3"/>
  <c r="F49" i="3"/>
  <c r="D50" i="3"/>
  <c r="E50" i="3"/>
  <c r="F50" i="3"/>
  <c r="D51" i="3"/>
  <c r="E51" i="3"/>
  <c r="F51" i="3"/>
  <c r="D55" i="3"/>
  <c r="E55" i="3"/>
  <c r="F55" i="3"/>
  <c r="P47" i="3"/>
  <c r="H23" i="3"/>
  <c r="H24" i="3"/>
  <c r="H25" i="3"/>
  <c r="H26" i="3"/>
  <c r="H27" i="3"/>
  <c r="H28" i="3"/>
  <c r="H29" i="3"/>
  <c r="G14" i="2"/>
  <c r="F14" i="2"/>
  <c r="E14" i="2"/>
  <c r="E17" i="2"/>
  <c r="O16" i="2"/>
  <c r="O15" i="2"/>
  <c r="D34" i="3"/>
  <c r="D60" i="3"/>
  <c r="E34" i="3"/>
  <c r="F34" i="3"/>
  <c r="D35" i="3"/>
  <c r="E35" i="3"/>
  <c r="F35" i="3"/>
  <c r="D36" i="3"/>
  <c r="E36" i="3"/>
  <c r="F36" i="3"/>
  <c r="D37" i="3"/>
  <c r="E37" i="3"/>
  <c r="F37" i="3"/>
  <c r="D38" i="3"/>
  <c r="E38" i="3"/>
  <c r="F38" i="3"/>
  <c r="D39" i="3"/>
  <c r="E39" i="3"/>
  <c r="F39" i="3"/>
  <c r="D40" i="3"/>
  <c r="E40" i="3"/>
  <c r="F40" i="3"/>
  <c r="D41" i="3"/>
  <c r="E41" i="3"/>
  <c r="F41" i="3"/>
  <c r="D42" i="3"/>
  <c r="E42" i="3"/>
  <c r="F42" i="3"/>
  <c r="D43" i="3"/>
  <c r="E43" i="3"/>
  <c r="F43" i="3"/>
  <c r="D44" i="3"/>
  <c r="E44" i="3"/>
  <c r="F44" i="3"/>
  <c r="D45" i="3"/>
  <c r="E45" i="3"/>
  <c r="F45" i="3"/>
  <c r="D46" i="3"/>
  <c r="E46" i="3"/>
  <c r="F46" i="3"/>
  <c r="D47" i="3"/>
  <c r="E47" i="3"/>
  <c r="F47" i="3"/>
  <c r="D48" i="3"/>
  <c r="E48" i="3"/>
  <c r="F48" i="3"/>
  <c r="G57" i="3"/>
  <c r="I57" i="3"/>
  <c r="G58" i="3"/>
  <c r="I58" i="3"/>
  <c r="G59" i="3"/>
  <c r="I59" i="3"/>
  <c r="G60" i="3"/>
  <c r="I60" i="3"/>
  <c r="G61" i="3"/>
  <c r="I61" i="3"/>
  <c r="G46" i="3"/>
  <c r="I46" i="3"/>
  <c r="G47" i="3"/>
  <c r="I47" i="3"/>
  <c r="G48" i="3"/>
  <c r="I48" i="3"/>
  <c r="G49" i="3"/>
  <c r="I49" i="3"/>
  <c r="G50" i="3"/>
  <c r="I50" i="3"/>
  <c r="G51" i="3"/>
  <c r="I51" i="3"/>
  <c r="G55" i="3"/>
  <c r="I55" i="3"/>
  <c r="G39" i="3"/>
  <c r="I39" i="3"/>
  <c r="G40" i="3"/>
  <c r="I40" i="3"/>
  <c r="G41" i="3"/>
  <c r="I41" i="3"/>
  <c r="G42" i="3"/>
  <c r="I42" i="3"/>
  <c r="G43" i="3"/>
  <c r="I43" i="3"/>
  <c r="G44" i="3"/>
  <c r="I44" i="3"/>
  <c r="G45" i="3"/>
  <c r="I45" i="3"/>
  <c r="G34" i="3"/>
  <c r="I34" i="3"/>
  <c r="G35" i="3"/>
  <c r="I35" i="3"/>
  <c r="G36" i="3"/>
  <c r="I36" i="3"/>
  <c r="G37" i="3"/>
  <c r="I37" i="3"/>
  <c r="G38" i="3"/>
  <c r="I38" i="3"/>
  <c r="D33" i="3"/>
  <c r="E33" i="3"/>
  <c r="F33" i="3"/>
  <c r="O9" i="3"/>
  <c r="O8" i="3"/>
  <c r="O7" i="3"/>
  <c r="O6" i="3"/>
  <c r="O5" i="3"/>
  <c r="O4" i="3"/>
  <c r="O3" i="3"/>
  <c r="O2" i="3"/>
  <c r="Q53" i="3"/>
  <c r="Q54" i="3"/>
  <c r="Q55" i="3"/>
  <c r="Q56" i="3"/>
  <c r="Q57" i="3"/>
  <c r="Q58" i="3"/>
  <c r="Q52" i="3"/>
  <c r="P53" i="3"/>
  <c r="P54" i="3"/>
  <c r="P55" i="3"/>
  <c r="P56" i="3"/>
  <c r="P57" i="3"/>
  <c r="P58" i="3"/>
  <c r="P59" i="3"/>
  <c r="P52" i="3"/>
  <c r="O53" i="3"/>
  <c r="O54" i="3"/>
  <c r="O55" i="3"/>
  <c r="O56" i="3"/>
  <c r="O57" i="3"/>
  <c r="O58" i="3"/>
  <c r="O59" i="3"/>
  <c r="O52" i="3"/>
  <c r="G33" i="3"/>
  <c r="I33" i="3"/>
  <c r="G28" i="3"/>
  <c r="G30" i="3"/>
  <c r="I28" i="3"/>
  <c r="G23" i="3"/>
  <c r="I23" i="3"/>
  <c r="C23" i="3"/>
  <c r="C24" i="3"/>
  <c r="C25" i="3"/>
  <c r="B25" i="3"/>
  <c r="B30" i="3"/>
  <c r="D25" i="3"/>
  <c r="C26" i="3"/>
  <c r="C27" i="3"/>
  <c r="C28" i="3"/>
  <c r="C29" i="3"/>
  <c r="B29" i="3"/>
  <c r="D29" i="3"/>
  <c r="D57" i="3"/>
  <c r="E57" i="3"/>
  <c r="D58" i="3"/>
  <c r="D59" i="3"/>
  <c r="E60" i="3"/>
  <c r="D61" i="3"/>
  <c r="E61" i="3"/>
  <c r="G24" i="3"/>
  <c r="I24" i="3"/>
  <c r="G25" i="3"/>
  <c r="I25" i="3"/>
  <c r="G26" i="3"/>
  <c r="I26" i="3"/>
  <c r="G27" i="3"/>
  <c r="I27" i="3"/>
  <c r="G29" i="3"/>
  <c r="I29" i="3"/>
  <c r="B26" i="3"/>
  <c r="D26" i="3"/>
  <c r="B28" i="3"/>
  <c r="D28" i="3"/>
  <c r="B23" i="3"/>
  <c r="D23" i="3"/>
  <c r="H14" i="2"/>
  <c r="D17" i="2"/>
  <c r="F17" i="2"/>
  <c r="G17" i="2"/>
  <c r="H17" i="2"/>
  <c r="G18" i="2"/>
  <c r="G19" i="2"/>
  <c r="H19" i="2"/>
  <c r="D33" i="2"/>
  <c r="E33" i="2"/>
  <c r="F33" i="2"/>
  <c r="G33" i="2"/>
  <c r="H33" i="2"/>
  <c r="D41" i="2"/>
  <c r="E41" i="2"/>
  <c r="F41" i="2"/>
  <c r="G41" i="2"/>
  <c r="H41" i="2"/>
  <c r="D28" i="2"/>
  <c r="G31" i="1"/>
  <c r="A37" i="1"/>
  <c r="H31" i="1"/>
  <c r="I31" i="1"/>
  <c r="J31" i="1"/>
  <c r="D13" i="2"/>
  <c r="E13" i="2"/>
  <c r="D29" i="2"/>
  <c r="D14" i="2"/>
  <c r="D15" i="2"/>
  <c r="D16" i="2"/>
  <c r="E16" i="2"/>
  <c r="D18" i="2"/>
  <c r="D19" i="2"/>
  <c r="D20" i="2"/>
  <c r="E20" i="2"/>
  <c r="D21" i="2"/>
  <c r="D22" i="2"/>
  <c r="D23" i="2"/>
  <c r="D24" i="2"/>
  <c r="E24" i="2"/>
  <c r="D25" i="2"/>
  <c r="D26" i="2"/>
  <c r="D27" i="2"/>
  <c r="E27" i="2"/>
  <c r="D30" i="2"/>
  <c r="E30" i="2"/>
  <c r="D31" i="2"/>
  <c r="E31" i="2"/>
  <c r="D32" i="2"/>
  <c r="E32" i="2"/>
  <c r="D34" i="2"/>
  <c r="E34" i="2"/>
  <c r="D35" i="2"/>
  <c r="D36" i="2"/>
  <c r="D37" i="2"/>
  <c r="E37" i="2"/>
  <c r="D38" i="2"/>
  <c r="D39" i="2"/>
  <c r="D40" i="2"/>
  <c r="E40" i="2"/>
  <c r="G53" i="1"/>
  <c r="H53" i="1"/>
  <c r="I53" i="1"/>
  <c r="J53" i="1"/>
  <c r="G62" i="1"/>
  <c r="H62" i="1"/>
  <c r="I62" i="1"/>
  <c r="J62" i="1"/>
  <c r="G61" i="1"/>
  <c r="H61" i="1"/>
  <c r="I61" i="1"/>
  <c r="J61" i="1"/>
  <c r="G60" i="1"/>
  <c r="H60" i="1"/>
  <c r="I60" i="1"/>
  <c r="J60" i="1"/>
  <c r="G59" i="1"/>
  <c r="H59" i="1"/>
  <c r="I59" i="1"/>
  <c r="J59" i="1"/>
  <c r="G55" i="1"/>
  <c r="G54" i="1"/>
  <c r="G47" i="1"/>
  <c r="G46" i="1"/>
  <c r="H46" i="1"/>
  <c r="I46" i="1"/>
  <c r="J46" i="1"/>
  <c r="G39" i="1"/>
  <c r="H39" i="1"/>
  <c r="I39" i="1"/>
  <c r="J39" i="1"/>
  <c r="G40" i="1"/>
  <c r="H40" i="1"/>
  <c r="I40" i="1"/>
  <c r="J40" i="1"/>
  <c r="G38" i="1"/>
  <c r="G34" i="1"/>
  <c r="H34" i="1"/>
  <c r="I34" i="1"/>
  <c r="J34" i="1"/>
  <c r="A32" i="1"/>
  <c r="C32" i="1"/>
  <c r="B24" i="3"/>
  <c r="D24" i="3"/>
  <c r="G56" i="1"/>
  <c r="H56" i="1"/>
  <c r="I56" i="1"/>
  <c r="J56" i="1"/>
  <c r="L25" i="2"/>
  <c r="E15" i="2"/>
  <c r="F15" i="2"/>
  <c r="G15" i="2"/>
  <c r="H15" i="2"/>
  <c r="E21" i="2"/>
  <c r="E22" i="2"/>
  <c r="F22" i="2"/>
  <c r="E23" i="2"/>
  <c r="F23" i="2"/>
  <c r="G23" i="2"/>
  <c r="H23" i="2"/>
  <c r="E25" i="2"/>
  <c r="F25" i="2"/>
  <c r="G25" i="2"/>
  <c r="H25" i="2"/>
  <c r="E26" i="2"/>
  <c r="E28" i="2"/>
  <c r="F28" i="2"/>
  <c r="G28" i="2"/>
  <c r="H28" i="2"/>
  <c r="E29" i="2"/>
  <c r="E35" i="2"/>
  <c r="F35" i="2"/>
  <c r="G35" i="2"/>
  <c r="H35" i="2"/>
  <c r="E36" i="2"/>
  <c r="E38" i="2"/>
  <c r="E39" i="2"/>
  <c r="F39" i="2"/>
  <c r="G37" i="1"/>
  <c r="H37" i="1"/>
  <c r="I37" i="1"/>
  <c r="J37" i="1"/>
  <c r="G32" i="1"/>
  <c r="H32" i="1"/>
  <c r="I32" i="1"/>
  <c r="J32" i="1"/>
  <c r="G33" i="1"/>
  <c r="G35" i="1"/>
  <c r="H35" i="1"/>
  <c r="I35" i="1"/>
  <c r="J35" i="1"/>
  <c r="G36" i="1"/>
  <c r="G41" i="1"/>
  <c r="H41" i="1"/>
  <c r="I41" i="1"/>
  <c r="J41" i="1"/>
  <c r="G42" i="1"/>
  <c r="H42" i="1"/>
  <c r="I42" i="1"/>
  <c r="J42" i="1"/>
  <c r="G43" i="1"/>
  <c r="H43" i="1"/>
  <c r="I43" i="1"/>
  <c r="J43" i="1"/>
  <c r="G44" i="1"/>
  <c r="H44" i="1"/>
  <c r="I44" i="1"/>
  <c r="J44" i="1"/>
  <c r="G45" i="1"/>
  <c r="H45" i="1"/>
  <c r="I45" i="1"/>
  <c r="J45" i="1"/>
  <c r="H47" i="1"/>
  <c r="I47" i="1"/>
  <c r="J47" i="1"/>
  <c r="G48" i="1"/>
  <c r="H48" i="1"/>
  <c r="I48" i="1"/>
  <c r="J48" i="1"/>
  <c r="G49" i="1"/>
  <c r="H49" i="1"/>
  <c r="I49" i="1"/>
  <c r="J49" i="1"/>
  <c r="G50" i="1"/>
  <c r="H50" i="1"/>
  <c r="I50" i="1"/>
  <c r="J50" i="1"/>
  <c r="G51" i="1"/>
  <c r="H51" i="1"/>
  <c r="I51" i="1"/>
  <c r="J51" i="1"/>
  <c r="G52" i="1"/>
  <c r="H52" i="1"/>
  <c r="I52" i="1"/>
  <c r="J52" i="1"/>
  <c r="H54" i="1"/>
  <c r="I54" i="1"/>
  <c r="J54" i="1"/>
  <c r="H55" i="1"/>
  <c r="I55" i="1"/>
  <c r="J55" i="1"/>
  <c r="G57" i="1"/>
  <c r="H57" i="1"/>
  <c r="I57" i="1"/>
  <c r="J57" i="1"/>
  <c r="G58" i="1"/>
  <c r="H58" i="1"/>
  <c r="I58" i="1"/>
  <c r="J58" i="1"/>
  <c r="B27" i="3"/>
  <c r="D27" i="3"/>
  <c r="H18" i="2"/>
  <c r="A36" i="1"/>
  <c r="C36" i="1"/>
  <c r="A35" i="1"/>
  <c r="A34" i="1"/>
  <c r="A33" i="1"/>
  <c r="M16" i="2"/>
  <c r="M17" i="2"/>
  <c r="M18" i="2"/>
  <c r="M19" i="2"/>
  <c r="M20" i="2"/>
  <c r="M21" i="2"/>
  <c r="M22" i="2"/>
  <c r="M23" i="2"/>
  <c r="C33" i="1"/>
  <c r="C34" i="1"/>
  <c r="C37" i="1"/>
  <c r="F37" i="2"/>
  <c r="G37" i="2"/>
  <c r="H37" i="2"/>
  <c r="F27" i="2"/>
  <c r="G27" i="2"/>
  <c r="H27" i="2"/>
  <c r="F40" i="2"/>
  <c r="G40" i="2"/>
  <c r="H40" i="2"/>
  <c r="F30" i="2"/>
  <c r="G30" i="2"/>
  <c r="H30" i="2"/>
  <c r="F26" i="2"/>
  <c r="G26" i="2"/>
  <c r="H26" i="2"/>
  <c r="F32" i="2"/>
  <c r="G32" i="2"/>
  <c r="H32" i="2"/>
  <c r="F21" i="2"/>
  <c r="G21" i="2"/>
  <c r="H21" i="2"/>
  <c r="F31" i="2"/>
  <c r="G31" i="2"/>
  <c r="H31" i="2"/>
  <c r="F20" i="2"/>
  <c r="G20" i="2"/>
  <c r="H20" i="2"/>
  <c r="F34" i="2"/>
  <c r="G34" i="2"/>
  <c r="H34" i="2"/>
  <c r="F24" i="2"/>
  <c r="G24" i="2"/>
  <c r="H24" i="2"/>
  <c r="F16" i="2"/>
  <c r="G16" i="2"/>
  <c r="H16" i="2"/>
  <c r="E59" i="3"/>
  <c r="C35" i="1"/>
  <c r="H38" i="1"/>
  <c r="I38" i="1"/>
  <c r="J38" i="1"/>
  <c r="F38" i="2"/>
  <c r="G38" i="2"/>
  <c r="H38" i="2"/>
  <c r="F29" i="2"/>
  <c r="G29" i="2"/>
  <c r="H29" i="2"/>
  <c r="E58" i="3"/>
  <c r="H36" i="1"/>
  <c r="I36" i="1"/>
  <c r="J36" i="1"/>
  <c r="F13" i="2"/>
  <c r="G13" i="2"/>
  <c r="H13" i="2"/>
  <c r="G39" i="2"/>
  <c r="H39" i="2"/>
  <c r="G22" i="2"/>
  <c r="H22" i="2"/>
  <c r="H33" i="1"/>
  <c r="I33" i="1"/>
  <c r="J33" i="1"/>
  <c r="F36" i="2"/>
  <c r="G36" i="2"/>
  <c r="H36" i="2"/>
</calcChain>
</file>

<file path=xl/sharedStrings.xml><?xml version="1.0" encoding="utf-8"?>
<sst xmlns="http://schemas.openxmlformats.org/spreadsheetml/2006/main" count="591" uniqueCount="163">
  <si>
    <t>Plate 1</t>
  </si>
  <si>
    <t>A</t>
  </si>
  <si>
    <t>B</t>
  </si>
  <si>
    <t>C</t>
  </si>
  <si>
    <t>D</t>
  </si>
  <si>
    <t>E</t>
  </si>
  <si>
    <t>F</t>
  </si>
  <si>
    <t>G</t>
  </si>
  <si>
    <t>ST1</t>
  </si>
  <si>
    <t>ST2</t>
  </si>
  <si>
    <t>ST3</t>
  </si>
  <si>
    <t>ST4</t>
  </si>
  <si>
    <t>ST5</t>
  </si>
  <si>
    <t>ST6</t>
  </si>
  <si>
    <t>H</t>
  </si>
  <si>
    <t>Standards</t>
  </si>
  <si>
    <t>mg/ml</t>
  </si>
  <si>
    <t>vol BSA</t>
  </si>
  <si>
    <t>vol H2o</t>
  </si>
  <si>
    <t>vol RIPA</t>
  </si>
  <si>
    <t>E1</t>
  </si>
  <si>
    <t>E2</t>
  </si>
  <si>
    <t>E3</t>
  </si>
  <si>
    <t>E4</t>
  </si>
  <si>
    <t>E5</t>
  </si>
  <si>
    <t>E6</t>
  </si>
  <si>
    <t>E7</t>
  </si>
  <si>
    <t>E8</t>
  </si>
  <si>
    <t>E9</t>
  </si>
  <si>
    <t>E10</t>
  </si>
  <si>
    <t>E11</t>
  </si>
  <si>
    <t>E12</t>
  </si>
  <si>
    <t>E13</t>
  </si>
  <si>
    <t>E14</t>
  </si>
  <si>
    <t>E15</t>
  </si>
  <si>
    <t>E16</t>
  </si>
  <si>
    <t>E17</t>
  </si>
  <si>
    <t>E18</t>
  </si>
  <si>
    <t>E19</t>
  </si>
  <si>
    <t>E20</t>
  </si>
  <si>
    <t>E21</t>
  </si>
  <si>
    <t>E22</t>
  </si>
  <si>
    <t>antiGR</t>
  </si>
  <si>
    <t>STD1</t>
  </si>
  <si>
    <t>STD2</t>
  </si>
  <si>
    <t>STD3</t>
  </si>
  <si>
    <t>STD4</t>
  </si>
  <si>
    <t>STD5</t>
  </si>
  <si>
    <t>STD6</t>
  </si>
  <si>
    <t>STD7</t>
  </si>
  <si>
    <t>blank</t>
  </si>
  <si>
    <t>Average</t>
  </si>
  <si>
    <t>Average - blank</t>
  </si>
  <si>
    <t>AVERAGE</t>
  </si>
  <si>
    <t>AVERAGE- Blank</t>
  </si>
  <si>
    <t>Value</t>
  </si>
  <si>
    <t>Dilution factor</t>
  </si>
  <si>
    <t>Volume sample</t>
  </si>
  <si>
    <t>Vol RIPA</t>
  </si>
  <si>
    <t>Final conc.</t>
  </si>
  <si>
    <t>ug per well</t>
  </si>
  <si>
    <t>Log Conc.</t>
  </si>
  <si>
    <t>Average-blank</t>
  </si>
  <si>
    <t>Interpolated</t>
  </si>
  <si>
    <t>Conc (mg/ml)</t>
  </si>
  <si>
    <t>Conc sample</t>
  </si>
  <si>
    <t>Conc. ng/mg</t>
  </si>
  <si>
    <t>E23</t>
  </si>
  <si>
    <t>E24</t>
  </si>
  <si>
    <t>E25</t>
  </si>
  <si>
    <t>E26</t>
  </si>
  <si>
    <t>E27</t>
  </si>
  <si>
    <t>E28</t>
  </si>
  <si>
    <t>E29</t>
  </si>
  <si>
    <t>Samples</t>
  </si>
  <si>
    <t>3 ul + 12 ul H2O</t>
  </si>
  <si>
    <t>BSA + H2O + RIPA (1/5)</t>
  </si>
  <si>
    <t>Concent (mg/ml)</t>
  </si>
  <si>
    <t>Stock</t>
  </si>
  <si>
    <t>1/1000</t>
  </si>
  <si>
    <t>RIPA</t>
  </si>
  <si>
    <t>above</t>
  </si>
  <si>
    <t>ng/ml</t>
  </si>
  <si>
    <t>Standard</t>
  </si>
  <si>
    <t>25 ul/well</t>
  </si>
  <si>
    <t>Sample</t>
  </si>
  <si>
    <t>BCA concentration</t>
  </si>
  <si>
    <t>M1</t>
  </si>
  <si>
    <t>M2</t>
  </si>
  <si>
    <t>M3</t>
  </si>
  <si>
    <t>M4</t>
  </si>
  <si>
    <t>M5</t>
  </si>
  <si>
    <t>PBMC 75</t>
  </si>
  <si>
    <t>PBMC 184</t>
  </si>
  <si>
    <t>Neg</t>
  </si>
  <si>
    <t>A1</t>
  </si>
  <si>
    <t>A2</t>
  </si>
  <si>
    <t>A3</t>
  </si>
  <si>
    <t>A4</t>
  </si>
  <si>
    <t>I1</t>
  </si>
  <si>
    <t>I2</t>
  </si>
  <si>
    <t>I3</t>
  </si>
  <si>
    <t>I4</t>
  </si>
  <si>
    <t>I5</t>
  </si>
  <si>
    <t>GP Std (New)</t>
  </si>
  <si>
    <t xml:space="preserve">GR Std (TM) </t>
  </si>
  <si>
    <t>Std GP</t>
  </si>
  <si>
    <t>Std GR</t>
  </si>
  <si>
    <t>Average - M4</t>
  </si>
  <si>
    <t>Mean</t>
  </si>
  <si>
    <t>I6</t>
  </si>
  <si>
    <t>I7</t>
  </si>
  <si>
    <t>I8</t>
  </si>
  <si>
    <t>A5</t>
  </si>
  <si>
    <t>A6</t>
  </si>
  <si>
    <t>A7</t>
  </si>
  <si>
    <t>A8</t>
  </si>
  <si>
    <t>Do not use differente concentration</t>
  </si>
  <si>
    <t>(G4C2)36/+</t>
  </si>
  <si>
    <t>(G4C2)36/InRDN</t>
  </si>
  <si>
    <t>(G4C2)36/InRActive</t>
  </si>
  <si>
    <t xml:space="preserve">Samples description </t>
  </si>
  <si>
    <t>A1-8</t>
  </si>
  <si>
    <t>E1-8</t>
  </si>
  <si>
    <t>I1-8</t>
  </si>
  <si>
    <t>Relative to (G4C2)36</t>
  </si>
  <si>
    <t>Statistical analysis</t>
  </si>
  <si>
    <t>P value</t>
  </si>
  <si>
    <t>P value summary</t>
  </si>
  <si>
    <t>***</t>
  </si>
  <si>
    <t>Are differences among means statistically significant? (P &lt; 0.05)</t>
  </si>
  <si>
    <t>Yes</t>
  </si>
  <si>
    <t>R square</t>
  </si>
  <si>
    <t>Number of families</t>
  </si>
  <si>
    <t>Number of comparisons per family</t>
  </si>
  <si>
    <t>Alpha</t>
  </si>
  <si>
    <t>Tukey's multiple comparisons test</t>
  </si>
  <si>
    <t>Mean Diff.</t>
  </si>
  <si>
    <t>95% CI of diff.</t>
  </si>
  <si>
    <t>Significant?</t>
  </si>
  <si>
    <t>Summary</t>
  </si>
  <si>
    <t>Adjusted P Value</t>
  </si>
  <si>
    <t>0.2014 to 0.5755</t>
  </si>
  <si>
    <t>-0.06227 to 0.3249</t>
  </si>
  <si>
    <t>No</t>
  </si>
  <si>
    <t>ns</t>
  </si>
  <si>
    <t>-0.4507 to -0.06353</t>
  </si>
  <si>
    <t>**</t>
  </si>
  <si>
    <t>Test details</t>
  </si>
  <si>
    <t>Mean 1</t>
  </si>
  <si>
    <t>Mean 2</t>
  </si>
  <si>
    <t>SE of diff.</t>
  </si>
  <si>
    <t>n1</t>
  </si>
  <si>
    <t>n2</t>
  </si>
  <si>
    <t>q</t>
  </si>
  <si>
    <t>DF</t>
  </si>
  <si>
    <r>
      <t>(G4C2)</t>
    </r>
    <r>
      <rPr>
        <vertAlign val="subscript"/>
        <sz val="11"/>
        <rFont val="Calibri"/>
        <family val="2"/>
        <scheme val="minor"/>
      </rPr>
      <t>36</t>
    </r>
    <r>
      <rPr>
        <sz val="11"/>
        <rFont val="Calibri"/>
        <family val="2"/>
        <scheme val="minor"/>
      </rPr>
      <t>/+ vs. (G4C2)</t>
    </r>
    <r>
      <rPr>
        <vertAlign val="subscript"/>
        <sz val="11"/>
        <rFont val="Calibri"/>
        <family val="2"/>
        <scheme val="minor"/>
      </rPr>
      <t>36</t>
    </r>
    <r>
      <rPr>
        <sz val="11"/>
        <rFont val="Calibri"/>
        <family val="2"/>
        <scheme val="minor"/>
      </rPr>
      <t xml:space="preserve">/InR </t>
    </r>
    <r>
      <rPr>
        <vertAlign val="superscript"/>
        <sz val="11"/>
        <rFont val="Calibri"/>
        <family val="2"/>
        <scheme val="minor"/>
      </rPr>
      <t>Active</t>
    </r>
  </si>
  <si>
    <r>
      <t>(G4C2)</t>
    </r>
    <r>
      <rPr>
        <vertAlign val="subscript"/>
        <sz val="11"/>
        <rFont val="Calibri"/>
        <family val="2"/>
        <scheme val="minor"/>
      </rPr>
      <t>36</t>
    </r>
    <r>
      <rPr>
        <sz val="11"/>
        <rFont val="Calibri"/>
        <family val="2"/>
        <scheme val="minor"/>
      </rPr>
      <t>/+ vs. (G4C2)</t>
    </r>
    <r>
      <rPr>
        <vertAlign val="subscript"/>
        <sz val="11"/>
        <rFont val="Calibri"/>
        <family val="2"/>
        <scheme val="minor"/>
      </rPr>
      <t>36</t>
    </r>
    <r>
      <rPr>
        <sz val="11"/>
        <rFont val="Calibri"/>
        <family val="2"/>
        <scheme val="minor"/>
      </rPr>
      <t>/InR</t>
    </r>
    <r>
      <rPr>
        <vertAlign val="superscript"/>
        <sz val="11"/>
        <rFont val="Calibri"/>
        <family val="2"/>
        <scheme val="minor"/>
      </rPr>
      <t>DN</t>
    </r>
  </si>
  <si>
    <r>
      <t>(G4C2)</t>
    </r>
    <r>
      <rPr>
        <vertAlign val="subscript"/>
        <sz val="11"/>
        <rFont val="Calibri"/>
        <family val="2"/>
        <scheme val="minor"/>
      </rPr>
      <t>36</t>
    </r>
    <r>
      <rPr>
        <sz val="11"/>
        <rFont val="Calibri"/>
        <family val="2"/>
        <scheme val="minor"/>
      </rPr>
      <t xml:space="preserve">/InR </t>
    </r>
    <r>
      <rPr>
        <vertAlign val="superscript"/>
        <sz val="11"/>
        <rFont val="Calibri"/>
        <family val="2"/>
        <scheme val="minor"/>
      </rPr>
      <t>Active</t>
    </r>
    <r>
      <rPr>
        <sz val="11"/>
        <rFont val="Calibri"/>
        <family val="2"/>
        <scheme val="minor"/>
      </rPr>
      <t xml:space="preserve"> vs. (G4C2)</t>
    </r>
    <r>
      <rPr>
        <vertAlign val="subscript"/>
        <sz val="11"/>
        <rFont val="Calibri"/>
        <family val="2"/>
        <scheme val="minor"/>
      </rPr>
      <t>36</t>
    </r>
    <r>
      <rPr>
        <sz val="11"/>
        <rFont val="Calibri"/>
        <family val="2"/>
        <scheme val="minor"/>
      </rPr>
      <t>/InR</t>
    </r>
    <r>
      <rPr>
        <vertAlign val="superscript"/>
        <sz val="11"/>
        <rFont val="Calibri"/>
        <family val="2"/>
        <scheme val="minor"/>
      </rPr>
      <t>DN</t>
    </r>
  </si>
  <si>
    <r>
      <t>(G4C2)</t>
    </r>
    <r>
      <rPr>
        <b/>
        <vertAlign val="subscript"/>
        <sz val="11"/>
        <rFont val="Calibri"/>
        <family val="2"/>
        <scheme val="minor"/>
      </rPr>
      <t>36</t>
    </r>
    <r>
      <rPr>
        <b/>
        <sz val="11"/>
        <rFont val="Calibri"/>
        <family val="2"/>
        <scheme val="minor"/>
      </rPr>
      <t>/+ vs. (G4C2)</t>
    </r>
    <r>
      <rPr>
        <b/>
        <vertAlign val="subscript"/>
        <sz val="11"/>
        <rFont val="Calibri"/>
        <family val="2"/>
        <scheme val="minor"/>
      </rPr>
      <t>36</t>
    </r>
    <r>
      <rPr>
        <b/>
        <sz val="11"/>
        <rFont val="Calibri"/>
        <family val="2"/>
        <scheme val="minor"/>
      </rPr>
      <t xml:space="preserve">/InR </t>
    </r>
    <r>
      <rPr>
        <b/>
        <vertAlign val="superscript"/>
        <sz val="11"/>
        <rFont val="Calibri"/>
        <family val="2"/>
        <scheme val="minor"/>
      </rPr>
      <t>Active</t>
    </r>
  </si>
  <si>
    <r>
      <t>(G4C2)</t>
    </r>
    <r>
      <rPr>
        <b/>
        <vertAlign val="subscript"/>
        <sz val="11"/>
        <rFont val="Calibri"/>
        <family val="2"/>
        <scheme val="minor"/>
      </rPr>
      <t>36</t>
    </r>
    <r>
      <rPr>
        <b/>
        <sz val="11"/>
        <rFont val="Calibri"/>
        <family val="2"/>
        <scheme val="minor"/>
      </rPr>
      <t>/+ vs. (G4C2)</t>
    </r>
    <r>
      <rPr>
        <b/>
        <vertAlign val="subscript"/>
        <sz val="11"/>
        <rFont val="Calibri"/>
        <family val="2"/>
        <scheme val="minor"/>
      </rPr>
      <t>36</t>
    </r>
    <r>
      <rPr>
        <b/>
        <sz val="11"/>
        <rFont val="Calibri"/>
        <family val="2"/>
        <scheme val="minor"/>
      </rPr>
      <t>/InR</t>
    </r>
    <r>
      <rPr>
        <b/>
        <vertAlign val="superscript"/>
        <sz val="11"/>
        <rFont val="Calibri"/>
        <family val="2"/>
        <scheme val="minor"/>
      </rPr>
      <t>DN</t>
    </r>
  </si>
  <si>
    <r>
      <t>(G4C2)</t>
    </r>
    <r>
      <rPr>
        <b/>
        <vertAlign val="subscript"/>
        <sz val="11"/>
        <rFont val="Calibri"/>
        <family val="2"/>
        <scheme val="minor"/>
      </rPr>
      <t>36</t>
    </r>
    <r>
      <rPr>
        <b/>
        <sz val="11"/>
        <rFont val="Calibri"/>
        <family val="2"/>
        <scheme val="minor"/>
      </rPr>
      <t xml:space="preserve">/InR </t>
    </r>
    <r>
      <rPr>
        <b/>
        <vertAlign val="superscript"/>
        <sz val="11"/>
        <rFont val="Calibri"/>
        <family val="2"/>
        <scheme val="minor"/>
      </rPr>
      <t>Active</t>
    </r>
    <r>
      <rPr>
        <b/>
        <sz val="11"/>
        <rFont val="Calibri"/>
        <family val="2"/>
        <scheme val="minor"/>
      </rPr>
      <t xml:space="preserve"> vs. (G4C2)</t>
    </r>
    <r>
      <rPr>
        <b/>
        <vertAlign val="subscript"/>
        <sz val="11"/>
        <rFont val="Calibri"/>
        <family val="2"/>
        <scheme val="minor"/>
      </rPr>
      <t>36</t>
    </r>
    <r>
      <rPr>
        <b/>
        <sz val="11"/>
        <rFont val="Calibri"/>
        <family val="2"/>
        <scheme val="minor"/>
      </rPr>
      <t>/InR</t>
    </r>
    <r>
      <rPr>
        <b/>
        <vertAlign val="superscript"/>
        <sz val="11"/>
        <rFont val="Calibri"/>
        <family val="2"/>
        <scheme val="minor"/>
      </rPr>
      <t>DN</t>
    </r>
  </si>
  <si>
    <t>One-way ANOVA summary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</si>
</sst>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000"/>
  </numFmts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0"/>
      <name val="Arial"/>
      <family val="2"/>
      <charset val="204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0"/>
      <name val="Arial"/>
      <family val="2"/>
    </font>
    <font>
      <sz val="11"/>
      <color rgb="FFFF0000"/>
      <name val="Calibri"/>
      <family val="2"/>
      <scheme val="minor"/>
    </font>
    <font>
      <i/>
      <sz val="10"/>
      <name val="Arial"/>
      <family val="2"/>
    </font>
    <font>
      <b/>
      <sz val="11"/>
      <name val="Calibri"/>
      <family val="2"/>
      <scheme val="minor"/>
    </font>
    <font>
      <b/>
      <sz val="10"/>
      <name val="Arial"/>
      <family val="2"/>
    </font>
    <font>
      <b/>
      <sz val="11"/>
      <color rgb="FF000000"/>
      <name val="Calibri"/>
      <family val="2"/>
      <scheme val="minor"/>
    </font>
    <font>
      <sz val="8"/>
      <name val="Arial"/>
      <family val="2"/>
    </font>
    <font>
      <vertAlign val="subscript"/>
      <sz val="11"/>
      <name val="Calibri"/>
      <family val="2"/>
      <scheme val="minor"/>
    </font>
    <font>
      <vertAlign val="superscript"/>
      <sz val="11"/>
      <name val="Calibri"/>
      <family val="2"/>
      <scheme val="minor"/>
    </font>
    <font>
      <b/>
      <vertAlign val="subscript"/>
      <sz val="11"/>
      <name val="Calibri"/>
      <family val="2"/>
      <scheme val="minor"/>
    </font>
    <font>
      <b/>
      <vertAlign val="superscript"/>
      <sz val="1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2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5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138">
    <xf numFmtId="0" fontId="0" fillId="0" borderId="0" xfId="0"/>
    <xf numFmtId="0" fontId="1" fillId="0" borderId="1" xfId="0" applyFont="1" applyBorder="1"/>
    <xf numFmtId="0" fontId="0" fillId="2" borderId="1" xfId="0" applyFill="1" applyBorder="1"/>
    <xf numFmtId="0" fontId="0" fillId="0" borderId="1" xfId="0" applyFill="1" applyBorder="1"/>
    <xf numFmtId="0" fontId="2" fillId="2" borderId="1" xfId="0" applyFont="1" applyFill="1" applyBorder="1"/>
    <xf numFmtId="0" fontId="1" fillId="2" borderId="1" xfId="0" applyFont="1" applyFill="1" applyBorder="1"/>
    <xf numFmtId="0" fontId="0" fillId="3" borderId="1" xfId="0" applyFill="1" applyBorder="1"/>
    <xf numFmtId="2" fontId="0" fillId="2" borderId="1" xfId="0" applyNumberFormat="1" applyFill="1" applyBorder="1"/>
    <xf numFmtId="0" fontId="0" fillId="4" borderId="1" xfId="0" applyFill="1" applyBorder="1"/>
    <xf numFmtId="0" fontId="0" fillId="0" borderId="0" xfId="0" applyAlignment="1">
      <alignment horizontal="right"/>
    </xf>
    <xf numFmtId="0" fontId="3" fillId="0" borderId="0" xfId="0" applyFont="1" applyAlignment="1">
      <alignment horizontal="right"/>
    </xf>
    <xf numFmtId="0" fontId="0" fillId="0" borderId="2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0" xfId="0" applyBorder="1" applyAlignment="1">
      <alignment horizontal="right"/>
    </xf>
    <xf numFmtId="0" fontId="0" fillId="0" borderId="5" xfId="0" applyBorder="1" applyAlignment="1">
      <alignment horizontal="right"/>
    </xf>
    <xf numFmtId="0" fontId="0" fillId="0" borderId="6" xfId="0" applyBorder="1" applyAlignment="1">
      <alignment horizontal="right"/>
    </xf>
    <xf numFmtId="0" fontId="1" fillId="0" borderId="0" xfId="0" applyFont="1"/>
    <xf numFmtId="0" fontId="0" fillId="5" borderId="0" xfId="0" applyFill="1"/>
    <xf numFmtId="0" fontId="0" fillId="2" borderId="7" xfId="0" applyFill="1" applyBorder="1"/>
    <xf numFmtId="2" fontId="0" fillId="0" borderId="0" xfId="0" applyNumberFormat="1"/>
    <xf numFmtId="0" fontId="1" fillId="0" borderId="0" xfId="0" applyFont="1" applyAlignment="1">
      <alignment horizontal="center" wrapText="1"/>
    </xf>
    <xf numFmtId="0" fontId="1" fillId="0" borderId="0" xfId="0" applyFont="1" applyFill="1" applyBorder="1"/>
    <xf numFmtId="0" fontId="0" fillId="0" borderId="0" xfId="0" applyFill="1" applyBorder="1"/>
    <xf numFmtId="17" fontId="0" fillId="0" borderId="0" xfId="0" applyNumberFormat="1" applyFill="1" applyBorder="1"/>
    <xf numFmtId="0" fontId="3" fillId="0" borderId="0" xfId="0" applyFont="1" applyBorder="1" applyAlignment="1">
      <alignment horizontal="right"/>
    </xf>
    <xf numFmtId="0" fontId="0" fillId="0" borderId="0" xfId="0" applyBorder="1"/>
    <xf numFmtId="0" fontId="3" fillId="0" borderId="0" xfId="0" applyFont="1" applyFill="1" applyBorder="1" applyAlignment="1">
      <alignment horizontal="right"/>
    </xf>
    <xf numFmtId="0" fontId="1" fillId="0" borderId="9" xfId="0" applyFont="1" applyBorder="1"/>
    <xf numFmtId="0" fontId="0" fillId="3" borderId="9" xfId="0" applyFill="1" applyBorder="1"/>
    <xf numFmtId="0" fontId="0" fillId="0" borderId="0" xfId="0" applyFill="1" applyBorder="1" applyAlignment="1">
      <alignment horizontal="left"/>
    </xf>
    <xf numFmtId="0" fontId="0" fillId="3" borderId="0" xfId="0" applyFill="1" applyBorder="1"/>
    <xf numFmtId="0" fontId="0" fillId="2" borderId="0" xfId="0" applyFill="1" applyBorder="1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1" fillId="5" borderId="1" xfId="0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0" fillId="6" borderId="0" xfId="0" applyFill="1" applyAlignment="1">
      <alignment wrapText="1"/>
    </xf>
    <xf numFmtId="0" fontId="1" fillId="6" borderId="1" xfId="0" applyFont="1" applyFill="1" applyBorder="1"/>
    <xf numFmtId="0" fontId="1" fillId="6" borderId="8" xfId="0" applyFont="1" applyFill="1" applyBorder="1"/>
    <xf numFmtId="0" fontId="1" fillId="6" borderId="1" xfId="0" applyFont="1" applyFill="1" applyBorder="1" applyAlignment="1">
      <alignment horizontal="center" wrapText="1"/>
    </xf>
    <xf numFmtId="0" fontId="1" fillId="6" borderId="7" xfId="0" applyFont="1" applyFill="1" applyBorder="1" applyAlignment="1">
      <alignment horizontal="center" wrapText="1"/>
    </xf>
    <xf numFmtId="0" fontId="0" fillId="6" borderId="0" xfId="0" applyFill="1" applyBorder="1" applyAlignment="1">
      <alignment horizontal="center" wrapText="1"/>
    </xf>
    <xf numFmtId="0" fontId="1" fillId="6" borderId="0" xfId="0" applyFont="1" applyFill="1" applyBorder="1"/>
    <xf numFmtId="0" fontId="1" fillId="2" borderId="0" xfId="0" applyFont="1" applyFill="1"/>
    <xf numFmtId="0" fontId="0" fillId="2" borderId="0" xfId="0" applyFill="1"/>
    <xf numFmtId="0" fontId="0" fillId="6" borderId="1" xfId="0" applyFill="1" applyBorder="1"/>
    <xf numFmtId="0" fontId="0" fillId="0" borderId="0" xfId="0" applyFont="1" applyFill="1" applyBorder="1"/>
    <xf numFmtId="0" fontId="0" fillId="0" borderId="0" xfId="0" applyFill="1" applyBorder="1" applyAlignment="1">
      <alignment horizontal="center"/>
    </xf>
    <xf numFmtId="0" fontId="0" fillId="6" borderId="0" xfId="0" applyFill="1" applyBorder="1"/>
    <xf numFmtId="164" fontId="0" fillId="0" borderId="0" xfId="0" applyNumberFormat="1"/>
    <xf numFmtId="0" fontId="0" fillId="8" borderId="0" xfId="0" applyFill="1"/>
    <xf numFmtId="0" fontId="0" fillId="8" borderId="1" xfId="0" applyFill="1" applyBorder="1"/>
    <xf numFmtId="164" fontId="0" fillId="0" borderId="0" xfId="0" applyNumberFormat="1" applyFill="1"/>
    <xf numFmtId="164" fontId="0" fillId="0" borderId="0" xfId="0" applyNumberFormat="1" applyFill="1" applyBorder="1"/>
    <xf numFmtId="2" fontId="0" fillId="0" borderId="0" xfId="0" applyNumberFormat="1" applyFill="1" applyBorder="1"/>
    <xf numFmtId="0" fontId="0" fillId="8" borderId="9" xfId="0" applyFill="1" applyBorder="1"/>
    <xf numFmtId="0" fontId="0" fillId="0" borderId="0" xfId="0" applyAlignment="1">
      <alignment horizontal="center"/>
    </xf>
    <xf numFmtId="0" fontId="0" fillId="6" borderId="8" xfId="0" applyFill="1" applyBorder="1"/>
    <xf numFmtId="0" fontId="7" fillId="0" borderId="0" xfId="0" applyFont="1" applyAlignment="1">
      <alignment horizontal="center" wrapText="1"/>
    </xf>
    <xf numFmtId="0" fontId="0" fillId="0" borderId="9" xfId="0" applyFill="1" applyBorder="1"/>
    <xf numFmtId="0" fontId="0" fillId="0" borderId="0" xfId="0" applyBorder="1" applyAlignment="1">
      <alignment wrapText="1"/>
    </xf>
    <xf numFmtId="0" fontId="0" fillId="9" borderId="1" xfId="0" applyFill="1" applyBorder="1"/>
    <xf numFmtId="0" fontId="1" fillId="6" borderId="9" xfId="0" applyFont="1" applyFill="1" applyBorder="1"/>
    <xf numFmtId="0" fontId="1" fillId="6" borderId="2" xfId="0" applyFont="1" applyFill="1" applyBorder="1"/>
    <xf numFmtId="0" fontId="0" fillId="0" borderId="0" xfId="0" applyFill="1" applyBorder="1" applyAlignment="1">
      <alignment wrapText="1"/>
    </xf>
    <xf numFmtId="0" fontId="1" fillId="0" borderId="0" xfId="0" applyFont="1" applyFill="1" applyBorder="1" applyAlignment="1">
      <alignment horizontal="center" wrapText="1"/>
    </xf>
    <xf numFmtId="165" fontId="0" fillId="0" borderId="0" xfId="0" applyNumberFormat="1" applyBorder="1"/>
    <xf numFmtId="165" fontId="0" fillId="0" borderId="0" xfId="0" applyNumberFormat="1" applyFill="1" applyBorder="1"/>
    <xf numFmtId="165" fontId="0" fillId="7" borderId="0" xfId="0" applyNumberFormat="1" applyFill="1" applyBorder="1"/>
    <xf numFmtId="0" fontId="0" fillId="10" borderId="1" xfId="0" applyFill="1" applyBorder="1"/>
    <xf numFmtId="2" fontId="9" fillId="0" borderId="0" xfId="0" applyNumberFormat="1" applyFont="1"/>
    <xf numFmtId="164" fontId="6" fillId="0" borderId="0" xfId="0" applyNumberFormat="1" applyFont="1" applyFill="1"/>
    <xf numFmtId="0" fontId="0" fillId="0" borderId="0" xfId="0" applyFill="1"/>
    <xf numFmtId="0" fontId="0" fillId="7" borderId="0" xfId="0" applyFill="1" applyAlignment="1">
      <alignment horizontal="center"/>
    </xf>
    <xf numFmtId="0" fontId="1" fillId="7" borderId="9" xfId="0" applyFont="1" applyFill="1" applyBorder="1"/>
    <xf numFmtId="164" fontId="0" fillId="7" borderId="0" xfId="0" applyNumberFormat="1" applyFill="1"/>
    <xf numFmtId="0" fontId="0" fillId="0" borderId="0" xfId="0" applyFill="1" applyBorder="1" applyAlignment="1">
      <alignment horizontal="center" wrapText="1"/>
    </xf>
    <xf numFmtId="0" fontId="7" fillId="0" borderId="0" xfId="0" applyFont="1" applyFill="1" applyBorder="1" applyAlignment="1">
      <alignment horizontal="center" wrapText="1"/>
    </xf>
    <xf numFmtId="0" fontId="8" fillId="0" borderId="0" xfId="0" applyFont="1" applyFill="1" applyBorder="1"/>
    <xf numFmtId="0" fontId="0" fillId="10" borderId="0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1" fillId="10" borderId="0" xfId="0" applyFont="1" applyFill="1"/>
    <xf numFmtId="0" fontId="0" fillId="10" borderId="0" xfId="0" applyFill="1"/>
    <xf numFmtId="0" fontId="10" fillId="0" borderId="0" xfId="0" applyFont="1"/>
    <xf numFmtId="0" fontId="0" fillId="10" borderId="2" xfId="0" applyFill="1" applyBorder="1" applyAlignment="1">
      <alignment horizontal="center"/>
    </xf>
    <xf numFmtId="0" fontId="0" fillId="10" borderId="10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12" borderId="0" xfId="0" applyFill="1" applyAlignment="1">
      <alignment horizontal="center"/>
    </xf>
    <xf numFmtId="0" fontId="0" fillId="0" borderId="0" xfId="0" applyFill="1" applyAlignment="1">
      <alignment horizontal="center"/>
    </xf>
    <xf numFmtId="0" fontId="1" fillId="2" borderId="11" xfId="0" applyFont="1" applyFill="1" applyBorder="1"/>
    <xf numFmtId="0" fontId="0" fillId="0" borderId="0" xfId="0" applyFont="1"/>
    <xf numFmtId="0" fontId="0" fillId="0" borderId="11" xfId="0" applyFont="1" applyBorder="1"/>
    <xf numFmtId="0" fontId="0" fillId="0" borderId="0" xfId="0" applyFont="1" applyFill="1" applyBorder="1" applyAlignment="1">
      <alignment horizontal="center" wrapText="1"/>
    </xf>
    <xf numFmtId="0" fontId="0" fillId="11" borderId="11" xfId="0" applyFont="1" applyFill="1" applyBorder="1"/>
    <xf numFmtId="0" fontId="0" fillId="0" borderId="12" xfId="0" applyFont="1" applyBorder="1"/>
    <xf numFmtId="0" fontId="0" fillId="0" borderId="13" xfId="0" applyFont="1" applyBorder="1"/>
    <xf numFmtId="2" fontId="7" fillId="0" borderId="0" xfId="0" applyNumberFormat="1" applyFont="1"/>
    <xf numFmtId="2" fontId="0" fillId="0" borderId="0" xfId="0" applyNumberFormat="1" applyFont="1"/>
    <xf numFmtId="0" fontId="0" fillId="3" borderId="14" xfId="0" applyFill="1" applyBorder="1"/>
    <xf numFmtId="0" fontId="0" fillId="3" borderId="0" xfId="0" applyFont="1" applyFill="1" applyBorder="1"/>
    <xf numFmtId="0" fontId="0" fillId="0" borderId="0" xfId="0" applyFont="1" applyBorder="1"/>
    <xf numFmtId="0" fontId="0" fillId="0" borderId="0" xfId="0" applyFont="1" applyBorder="1" applyAlignment="1">
      <alignment horizontal="center" wrapText="1"/>
    </xf>
    <xf numFmtId="0" fontId="0" fillId="11" borderId="12" xfId="0" applyFont="1" applyFill="1" applyBorder="1"/>
    <xf numFmtId="0" fontId="0" fillId="11" borderId="13" xfId="0" applyFont="1" applyFill="1" applyBorder="1"/>
    <xf numFmtId="0" fontId="1" fillId="2" borderId="12" xfId="0" applyFont="1" applyFill="1" applyBorder="1"/>
    <xf numFmtId="0" fontId="0" fillId="2" borderId="12" xfId="0" applyFont="1" applyFill="1" applyBorder="1"/>
    <xf numFmtId="0" fontId="1" fillId="2" borderId="13" xfId="0" applyFont="1" applyFill="1" applyBorder="1"/>
    <xf numFmtId="0" fontId="1" fillId="0" borderId="0" xfId="0" applyFont="1" applyBorder="1"/>
    <xf numFmtId="0" fontId="13" fillId="0" borderId="0" xfId="0" applyFont="1"/>
    <xf numFmtId="0" fontId="1" fillId="4" borderId="15" xfId="0" applyFont="1" applyFill="1" applyBorder="1"/>
    <xf numFmtId="0" fontId="1" fillId="4" borderId="16" xfId="0" applyFont="1" applyFill="1" applyBorder="1"/>
    <xf numFmtId="0" fontId="1" fillId="11" borderId="17" xfId="0" applyFont="1" applyFill="1" applyBorder="1"/>
    <xf numFmtId="0" fontId="1" fillId="11" borderId="18" xfId="0" applyFont="1" applyFill="1" applyBorder="1"/>
    <xf numFmtId="0" fontId="1" fillId="0" borderId="19" xfId="0" applyFont="1" applyBorder="1"/>
    <xf numFmtId="0" fontId="1" fillId="0" borderId="20" xfId="0" applyFont="1" applyBorder="1"/>
    <xf numFmtId="0" fontId="1" fillId="13" borderId="0" xfId="0" applyFont="1" applyFill="1"/>
    <xf numFmtId="0" fontId="12" fillId="13" borderId="15" xfId="0" applyFont="1" applyFill="1" applyBorder="1"/>
    <xf numFmtId="0" fontId="12" fillId="0" borderId="21" xfId="0" applyFont="1" applyBorder="1"/>
    <xf numFmtId="0" fontId="12" fillId="0" borderId="16" xfId="0" applyFont="1" applyBorder="1"/>
    <xf numFmtId="0" fontId="12" fillId="13" borderId="17" xfId="0" applyFont="1" applyFill="1" applyBorder="1"/>
    <xf numFmtId="0" fontId="12" fillId="0" borderId="0" xfId="0" applyFont="1" applyBorder="1"/>
    <xf numFmtId="0" fontId="12" fillId="0" borderId="18" xfId="0" applyFont="1" applyBorder="1"/>
    <xf numFmtId="0" fontId="12" fillId="13" borderId="19" xfId="0" applyFont="1" applyFill="1" applyBorder="1"/>
    <xf numFmtId="0" fontId="12" fillId="0" borderId="22" xfId="0" applyFont="1" applyBorder="1"/>
    <xf numFmtId="0" fontId="0" fillId="0" borderId="20" xfId="0" applyBorder="1"/>
    <xf numFmtId="0" fontId="14" fillId="0" borderId="0" xfId="0" applyFont="1"/>
    <xf numFmtId="0" fontId="6" fillId="0" borderId="0" xfId="0" applyFont="1" applyAlignment="1">
      <alignment horizontal="left"/>
    </xf>
    <xf numFmtId="0" fontId="6" fillId="0" borderId="0" xfId="0" applyFont="1"/>
    <xf numFmtId="0" fontId="11" fillId="0" borderId="0" xfId="0" applyFont="1" applyAlignment="1">
      <alignment horizontal="left"/>
    </xf>
    <xf numFmtId="0" fontId="11" fillId="0" borderId="0" xfId="0" applyFont="1"/>
    <xf numFmtId="0" fontId="6" fillId="0" borderId="22" xfId="0" applyFont="1" applyBorder="1" applyAlignment="1">
      <alignment horizontal="left"/>
    </xf>
    <xf numFmtId="0" fontId="6" fillId="0" borderId="22" xfId="0" applyFont="1" applyBorder="1"/>
    <xf numFmtId="0" fontId="11" fillId="0" borderId="23" xfId="0" applyFont="1" applyBorder="1" applyAlignment="1">
      <alignment horizontal="left"/>
    </xf>
    <xf numFmtId="0" fontId="6" fillId="0" borderId="24" xfId="0" applyFont="1" applyBorder="1"/>
    <xf numFmtId="0" fontId="0" fillId="0" borderId="24" xfId="0" applyFont="1" applyBorder="1"/>
    <xf numFmtId="0" fontId="0" fillId="0" borderId="25" xfId="0" applyFont="1" applyBorder="1"/>
  </cellXfs>
  <cellStyles count="75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'BCA 750nm'!$C$31</c:f>
              <c:strCache>
                <c:ptCount val="1"/>
                <c:pt idx="0">
                  <c:v>Average - blank</c:v>
                </c:pt>
              </c:strCache>
            </c:strRef>
          </c:tx>
          <c:spPr>
            <a:ln w="47625">
              <a:noFill/>
            </a:ln>
          </c:spPr>
          <c:trendline>
            <c:trendlineType val="linear"/>
            <c:dispRSqr val="1"/>
            <c:dispEq val="1"/>
            <c:trendlineLbl>
              <c:numFmt formatCode="General" sourceLinked="0"/>
            </c:trendlineLbl>
          </c:trendline>
          <c:xVal>
            <c:numRef>
              <c:f>'BCA 750nm'!$B$32:$B$37</c:f>
              <c:numCache>
                <c:formatCode>General</c:formatCode>
                <c:ptCount val="6"/>
                <c:pt idx="0">
                  <c:v>0.8</c:v>
                </c:pt>
                <c:pt idx="1">
                  <c:v>0.5</c:v>
                </c:pt>
                <c:pt idx="2">
                  <c:v>0.3</c:v>
                </c:pt>
                <c:pt idx="3">
                  <c:v>0.2</c:v>
                </c:pt>
                <c:pt idx="4">
                  <c:v>0.1</c:v>
                </c:pt>
                <c:pt idx="5">
                  <c:v>0</c:v>
                </c:pt>
              </c:numCache>
            </c:numRef>
          </c:xVal>
          <c:yVal>
            <c:numRef>
              <c:f>'BCA 750nm'!$C$32:$C$37</c:f>
              <c:numCache>
                <c:formatCode>General</c:formatCode>
                <c:ptCount val="6"/>
                <c:pt idx="0">
                  <c:v>0.17</c:v>
                </c:pt>
                <c:pt idx="1">
                  <c:v>0.11100000000000002</c:v>
                </c:pt>
                <c:pt idx="2">
                  <c:v>6.6000000000000003E-2</c:v>
                </c:pt>
                <c:pt idx="3">
                  <c:v>3.8500000000000006E-2</c:v>
                </c:pt>
                <c:pt idx="4">
                  <c:v>2.4500000000000008E-2</c:v>
                </c:pt>
                <c:pt idx="5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8B8-4A97-88D2-7AEEB75BB2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628864"/>
        <c:axId val="6630784"/>
      </c:scatterChart>
      <c:valAx>
        <c:axId val="6628864"/>
        <c:scaling>
          <c:orientation val="minMax"/>
        </c:scaling>
        <c:delete val="0"/>
        <c:axPos val="b"/>
        <c:majorGridlines/>
        <c:minorGridlines/>
        <c:title>
          <c:overlay val="0"/>
        </c:title>
        <c:numFmt formatCode="General" sourceLinked="1"/>
        <c:majorTickMark val="out"/>
        <c:minorTickMark val="none"/>
        <c:tickLblPos val="nextTo"/>
        <c:crossAx val="6630784"/>
        <c:crosses val="autoZero"/>
        <c:crossBetween val="midCat"/>
      </c:valAx>
      <c:valAx>
        <c:axId val="6630784"/>
        <c:scaling>
          <c:orientation val="minMax"/>
        </c:scaling>
        <c:delete val="0"/>
        <c:axPos val="l"/>
        <c:majorGridlines/>
        <c:minorGridlines/>
        <c:title>
          <c:overlay val="0"/>
        </c:title>
        <c:numFmt formatCode="General" sourceLinked="1"/>
        <c:majorTickMark val="out"/>
        <c:minorTickMark val="none"/>
        <c:tickLblPos val="nextTo"/>
        <c:crossAx val="6628864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exp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'E heads results'!$H$23:$H$29</c:f>
              <c:numCache>
                <c:formatCode>General</c:formatCode>
                <c:ptCount val="7"/>
                <c:pt idx="0">
                  <c:v>2.6989700043360187</c:v>
                </c:pt>
                <c:pt idx="1">
                  <c:v>2</c:v>
                </c:pt>
                <c:pt idx="2">
                  <c:v>1.3979400086720377</c:v>
                </c:pt>
                <c:pt idx="3">
                  <c:v>1.0969100130080565</c:v>
                </c:pt>
                <c:pt idx="4">
                  <c:v>0.49485002168009401</c:v>
                </c:pt>
                <c:pt idx="5">
                  <c:v>-0.50514997831990593</c:v>
                </c:pt>
                <c:pt idx="6">
                  <c:v>-1.505149978319906</c:v>
                </c:pt>
              </c:numCache>
            </c:numRef>
          </c:xVal>
          <c:yVal>
            <c:numRef>
              <c:f>'E heads results'!$I$23:$I$29</c:f>
              <c:numCache>
                <c:formatCode>General</c:formatCode>
                <c:ptCount val="7"/>
                <c:pt idx="0">
                  <c:v>104134.5</c:v>
                </c:pt>
                <c:pt idx="1">
                  <c:v>30725</c:v>
                </c:pt>
                <c:pt idx="2">
                  <c:v>5878.5</c:v>
                </c:pt>
                <c:pt idx="3">
                  <c:v>2582</c:v>
                </c:pt>
                <c:pt idx="4">
                  <c:v>563</c:v>
                </c:pt>
                <c:pt idx="5">
                  <c:v>56.5</c:v>
                </c:pt>
                <c:pt idx="6">
                  <c:v>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213-B147-AD9D-B41CC1875C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31506192"/>
        <c:axId val="264713632"/>
      </c:scatterChart>
      <c:valAx>
        <c:axId val="6315061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64713632"/>
        <c:crosses val="autoZero"/>
        <c:crossBetween val="midCat"/>
      </c:valAx>
      <c:valAx>
        <c:axId val="264713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150619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tiff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273050</xdr:colOff>
      <xdr:row>38</xdr:row>
      <xdr:rowOff>171449</xdr:rowOff>
    </xdr:from>
    <xdr:to>
      <xdr:col>3</xdr:col>
      <xdr:colOff>400050</xdr:colOff>
      <xdr:row>55</xdr:row>
      <xdr:rowOff>66674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196850</xdr:colOff>
      <xdr:row>15</xdr:row>
      <xdr:rowOff>38100</xdr:rowOff>
    </xdr:from>
    <xdr:to>
      <xdr:col>21</xdr:col>
      <xdr:colOff>400050</xdr:colOff>
      <xdr:row>29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F6022D1-0C8B-1048-9E74-9044407448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18</xdr:col>
      <xdr:colOff>81410</xdr:colOff>
      <xdr:row>44</xdr:row>
      <xdr:rowOff>65128</xdr:rowOff>
    </xdr:from>
    <xdr:to>
      <xdr:col>20</xdr:col>
      <xdr:colOff>482600</xdr:colOff>
      <xdr:row>62</xdr:row>
      <xdr:rowOff>36797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E68D0B6-E914-4B4C-849D-50CC0227B1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5695897" y="8564359"/>
          <a:ext cx="1752600" cy="3390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78"/>
  <sheetViews>
    <sheetView topLeftCell="B11" workbookViewId="0">
      <selection activeCell="M22" sqref="M22"/>
    </sheetView>
  </sheetViews>
  <sheetFormatPr baseColWidth="10" defaultColWidth="8.83203125" defaultRowHeight="15" x14ac:dyDescent="0.2"/>
  <cols>
    <col min="1" max="1" width="13.5" customWidth="1"/>
    <col min="2" max="4" width="9.1640625" customWidth="1"/>
    <col min="5" max="5" width="12.33203125" customWidth="1"/>
    <col min="6" max="11" width="9.1640625" customWidth="1"/>
    <col min="13" max="13" width="22.5" customWidth="1"/>
    <col min="14" max="14" width="17.83203125" customWidth="1"/>
    <col min="15" max="15" width="11.6640625" customWidth="1"/>
    <col min="16" max="17" width="10.83203125" customWidth="1"/>
  </cols>
  <sheetData>
    <row r="1" spans="1:14" x14ac:dyDescent="0.2">
      <c r="A1" s="1" t="s">
        <v>0</v>
      </c>
      <c r="B1" s="1">
        <v>1</v>
      </c>
      <c r="C1" s="1">
        <v>2</v>
      </c>
      <c r="D1" s="1">
        <v>3</v>
      </c>
      <c r="E1" s="1">
        <v>4</v>
      </c>
      <c r="F1" s="1">
        <v>5</v>
      </c>
      <c r="G1" s="28">
        <v>6</v>
      </c>
      <c r="H1" s="22">
        <v>7</v>
      </c>
      <c r="I1" s="22">
        <v>8</v>
      </c>
      <c r="J1" s="22">
        <v>9</v>
      </c>
      <c r="K1" s="22">
        <v>10</v>
      </c>
      <c r="L1" s="22"/>
      <c r="M1" s="22"/>
      <c r="N1" s="23"/>
    </row>
    <row r="2" spans="1:14" x14ac:dyDescent="0.2">
      <c r="A2" s="1" t="s">
        <v>1</v>
      </c>
      <c r="B2" s="5" t="s">
        <v>8</v>
      </c>
      <c r="C2" s="2">
        <v>0.8</v>
      </c>
      <c r="D2" s="6" t="s">
        <v>20</v>
      </c>
      <c r="E2" s="6" t="s">
        <v>20</v>
      </c>
      <c r="F2" s="6" t="s">
        <v>28</v>
      </c>
      <c r="G2" s="29" t="s">
        <v>28</v>
      </c>
      <c r="H2" s="29" t="s">
        <v>36</v>
      </c>
      <c r="I2" s="29" t="s">
        <v>36</v>
      </c>
      <c r="J2" s="29" t="s">
        <v>69</v>
      </c>
      <c r="K2" s="29" t="s">
        <v>69</v>
      </c>
      <c r="L2" s="23"/>
      <c r="M2" s="23"/>
      <c r="N2" s="23"/>
    </row>
    <row r="3" spans="1:14" x14ac:dyDescent="0.2">
      <c r="A3" s="1" t="s">
        <v>2</v>
      </c>
      <c r="B3" s="5" t="s">
        <v>9</v>
      </c>
      <c r="C3" s="2">
        <v>0.5</v>
      </c>
      <c r="D3" s="6" t="s">
        <v>21</v>
      </c>
      <c r="E3" s="6" t="s">
        <v>21</v>
      </c>
      <c r="F3" s="6" t="s">
        <v>29</v>
      </c>
      <c r="G3" s="29" t="s">
        <v>29</v>
      </c>
      <c r="H3" s="29" t="s">
        <v>37</v>
      </c>
      <c r="I3" s="29" t="s">
        <v>37</v>
      </c>
      <c r="J3" s="29" t="s">
        <v>70</v>
      </c>
      <c r="K3" s="29" t="s">
        <v>70</v>
      </c>
      <c r="L3" s="23"/>
      <c r="M3" s="23"/>
      <c r="N3" s="23"/>
    </row>
    <row r="4" spans="1:14" x14ac:dyDescent="0.2">
      <c r="A4" s="1" t="s">
        <v>3</v>
      </c>
      <c r="B4" s="5" t="s">
        <v>10</v>
      </c>
      <c r="C4" s="2">
        <v>0.3</v>
      </c>
      <c r="D4" s="6" t="s">
        <v>22</v>
      </c>
      <c r="E4" s="6" t="s">
        <v>22</v>
      </c>
      <c r="F4" s="6" t="s">
        <v>30</v>
      </c>
      <c r="G4" s="29" t="s">
        <v>30</v>
      </c>
      <c r="H4" s="29" t="s">
        <v>38</v>
      </c>
      <c r="I4" s="29" t="s">
        <v>38</v>
      </c>
      <c r="J4" s="29" t="s">
        <v>71</v>
      </c>
      <c r="K4" s="29" t="s">
        <v>71</v>
      </c>
      <c r="L4" s="23"/>
      <c r="M4" s="23"/>
      <c r="N4" s="23"/>
    </row>
    <row r="5" spans="1:14" x14ac:dyDescent="0.2">
      <c r="A5" s="1" t="s">
        <v>4</v>
      </c>
      <c r="B5" s="5" t="s">
        <v>11</v>
      </c>
      <c r="C5" s="2">
        <v>0.2</v>
      </c>
      <c r="D5" s="6" t="s">
        <v>23</v>
      </c>
      <c r="E5" s="6" t="s">
        <v>23</v>
      </c>
      <c r="F5" s="6" t="s">
        <v>31</v>
      </c>
      <c r="G5" s="29" t="s">
        <v>31</v>
      </c>
      <c r="H5" s="29" t="s">
        <v>39</v>
      </c>
      <c r="I5" s="29" t="s">
        <v>39</v>
      </c>
      <c r="J5" s="29" t="s">
        <v>72</v>
      </c>
      <c r="K5" s="29" t="s">
        <v>72</v>
      </c>
      <c r="L5" s="23"/>
      <c r="M5" s="23"/>
      <c r="N5" s="23"/>
    </row>
    <row r="6" spans="1:14" x14ac:dyDescent="0.2">
      <c r="A6" s="1" t="s">
        <v>5</v>
      </c>
      <c r="B6" s="5" t="s">
        <v>12</v>
      </c>
      <c r="C6" s="2">
        <v>0.1</v>
      </c>
      <c r="D6" s="6" t="s">
        <v>24</v>
      </c>
      <c r="E6" s="6" t="s">
        <v>24</v>
      </c>
      <c r="F6" s="6" t="s">
        <v>32</v>
      </c>
      <c r="G6" s="29" t="s">
        <v>32</v>
      </c>
      <c r="H6" s="29" t="s">
        <v>40</v>
      </c>
      <c r="I6" s="29" t="s">
        <v>40</v>
      </c>
      <c r="J6" s="29" t="s">
        <v>73</v>
      </c>
      <c r="K6" s="29" t="s">
        <v>73</v>
      </c>
      <c r="L6" s="23"/>
      <c r="M6" s="23"/>
      <c r="N6" s="23"/>
    </row>
    <row r="7" spans="1:14" x14ac:dyDescent="0.2">
      <c r="A7" s="1" t="s">
        <v>6</v>
      </c>
      <c r="B7" s="5" t="s">
        <v>13</v>
      </c>
      <c r="C7" s="2">
        <v>0</v>
      </c>
      <c r="D7" s="6" t="s">
        <v>25</v>
      </c>
      <c r="E7" s="6" t="s">
        <v>25</v>
      </c>
      <c r="F7" s="6" t="s">
        <v>33</v>
      </c>
      <c r="G7" s="29" t="s">
        <v>33</v>
      </c>
      <c r="H7" s="29" t="s">
        <v>41</v>
      </c>
      <c r="I7" s="29" t="s">
        <v>41</v>
      </c>
      <c r="J7" s="29" t="s">
        <v>94</v>
      </c>
      <c r="K7" s="29" t="s">
        <v>94</v>
      </c>
      <c r="L7" s="30"/>
      <c r="M7" s="30"/>
      <c r="N7" s="23"/>
    </row>
    <row r="8" spans="1:14" x14ac:dyDescent="0.2">
      <c r="A8" s="1" t="s">
        <v>7</v>
      </c>
      <c r="B8" s="62" t="s">
        <v>92</v>
      </c>
      <c r="C8" s="62" t="s">
        <v>92</v>
      </c>
      <c r="D8" s="6" t="s">
        <v>26</v>
      </c>
      <c r="E8" s="6" t="s">
        <v>26</v>
      </c>
      <c r="F8" s="6" t="s">
        <v>34</v>
      </c>
      <c r="G8" s="29" t="s">
        <v>34</v>
      </c>
      <c r="H8" s="29" t="s">
        <v>67</v>
      </c>
      <c r="I8" s="29" t="s">
        <v>67</v>
      </c>
      <c r="J8" s="60"/>
      <c r="K8" s="60"/>
      <c r="L8" s="30"/>
      <c r="M8" s="30"/>
      <c r="N8" s="23"/>
    </row>
    <row r="9" spans="1:14" x14ac:dyDescent="0.2">
      <c r="A9" s="1" t="s">
        <v>14</v>
      </c>
      <c r="B9" s="62" t="s">
        <v>93</v>
      </c>
      <c r="C9" s="62" t="s">
        <v>93</v>
      </c>
      <c r="D9" s="6" t="s">
        <v>27</v>
      </c>
      <c r="E9" s="6" t="s">
        <v>27</v>
      </c>
      <c r="F9" s="6" t="s">
        <v>35</v>
      </c>
      <c r="G9" s="29" t="s">
        <v>35</v>
      </c>
      <c r="H9" s="29" t="s">
        <v>68</v>
      </c>
      <c r="I9" s="29" t="s">
        <v>68</v>
      </c>
      <c r="J9" s="60"/>
      <c r="K9" s="60"/>
      <c r="L9" s="30"/>
      <c r="M9" s="30"/>
      <c r="N9" s="23"/>
    </row>
    <row r="12" spans="1:14" ht="16" thickBot="1" x14ac:dyDescent="0.25">
      <c r="A12" s="4" t="s">
        <v>15</v>
      </c>
      <c r="B12" s="5" t="s">
        <v>16</v>
      </c>
      <c r="C12" s="5" t="s">
        <v>17</v>
      </c>
      <c r="D12" s="5" t="s">
        <v>18</v>
      </c>
      <c r="E12" s="5" t="s">
        <v>19</v>
      </c>
      <c r="G12" s="31" t="s">
        <v>74</v>
      </c>
      <c r="H12" s="23" t="s">
        <v>75</v>
      </c>
      <c r="M12" s="17" t="s">
        <v>121</v>
      </c>
    </row>
    <row r="13" spans="1:14" x14ac:dyDescent="0.2">
      <c r="A13" s="5" t="s">
        <v>8</v>
      </c>
      <c r="B13" s="2">
        <v>0.8</v>
      </c>
      <c r="C13" s="7">
        <v>26.016260162601629</v>
      </c>
      <c r="D13" s="7">
        <v>5.983739837398371</v>
      </c>
      <c r="E13" s="7">
        <v>8</v>
      </c>
      <c r="G13" s="32" t="s">
        <v>15</v>
      </c>
      <c r="H13" s="23" t="s">
        <v>76</v>
      </c>
      <c r="M13" s="111" t="s">
        <v>122</v>
      </c>
      <c r="N13" s="112" t="s">
        <v>119</v>
      </c>
    </row>
    <row r="14" spans="1:14" x14ac:dyDescent="0.2">
      <c r="A14" s="5" t="s">
        <v>9</v>
      </c>
      <c r="B14" s="2">
        <v>0.5</v>
      </c>
      <c r="C14" s="7">
        <v>16.260162601626014</v>
      </c>
      <c r="D14" s="7">
        <v>15.739837398373986</v>
      </c>
      <c r="E14" s="7">
        <v>8</v>
      </c>
      <c r="M14" s="113" t="s">
        <v>123</v>
      </c>
      <c r="N14" s="114" t="s">
        <v>118</v>
      </c>
    </row>
    <row r="15" spans="1:14" ht="16" thickBot="1" x14ac:dyDescent="0.25">
      <c r="A15" s="5" t="s">
        <v>10</v>
      </c>
      <c r="B15" s="2">
        <v>0.3</v>
      </c>
      <c r="C15" s="7">
        <v>9.7560975609756095</v>
      </c>
      <c r="D15" s="7">
        <v>22.243902439024389</v>
      </c>
      <c r="E15" s="7">
        <v>8</v>
      </c>
      <c r="M15" s="115" t="s">
        <v>124</v>
      </c>
      <c r="N15" s="116" t="s">
        <v>120</v>
      </c>
    </row>
    <row r="16" spans="1:14" x14ac:dyDescent="0.2">
      <c r="A16" s="5" t="s">
        <v>11</v>
      </c>
      <c r="B16" s="2">
        <v>0.2</v>
      </c>
      <c r="C16" s="7">
        <v>6.5040650406504072</v>
      </c>
      <c r="D16" s="7">
        <v>25.49593495934959</v>
      </c>
      <c r="E16" s="7">
        <v>8</v>
      </c>
    </row>
    <row r="17" spans="1:14" x14ac:dyDescent="0.2">
      <c r="A17" s="5" t="s">
        <v>12</v>
      </c>
      <c r="B17" s="2">
        <v>0.1</v>
      </c>
      <c r="C17" s="7">
        <v>3.2520325203252036</v>
      </c>
      <c r="D17" s="7">
        <v>28.747967479674799</v>
      </c>
      <c r="E17" s="7">
        <v>8</v>
      </c>
    </row>
    <row r="18" spans="1:14" x14ac:dyDescent="0.2">
      <c r="A18" s="5" t="s">
        <v>13</v>
      </c>
      <c r="B18" s="2">
        <v>0</v>
      </c>
      <c r="C18" s="7">
        <v>0</v>
      </c>
      <c r="D18" s="7">
        <v>32</v>
      </c>
      <c r="E18" s="7">
        <v>8</v>
      </c>
    </row>
    <row r="19" spans="1:14" x14ac:dyDescent="0.2">
      <c r="L19" s="26"/>
      <c r="M19" s="23"/>
      <c r="N19" s="23"/>
    </row>
    <row r="20" spans="1:14" x14ac:dyDescent="0.2">
      <c r="A20" s="9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25">
        <v>7</v>
      </c>
      <c r="I20" s="25">
        <v>8</v>
      </c>
      <c r="J20" s="25">
        <v>9</v>
      </c>
      <c r="K20" s="25">
        <v>10</v>
      </c>
      <c r="L20" s="25"/>
      <c r="M20" s="27"/>
      <c r="N20" s="23"/>
    </row>
    <row r="21" spans="1:14" x14ac:dyDescent="0.2">
      <c r="A21" s="10" t="s">
        <v>1</v>
      </c>
      <c r="B21" s="11">
        <v>0.22700000000000001</v>
      </c>
      <c r="C21" s="12">
        <v>0.23100000000000001</v>
      </c>
      <c r="D21" s="12">
        <v>0.122</v>
      </c>
      <c r="E21" s="12">
        <v>0.124</v>
      </c>
      <c r="F21" s="12">
        <v>0.11899999999999999</v>
      </c>
      <c r="G21" s="12">
        <v>0.11899999999999999</v>
      </c>
      <c r="H21" s="12">
        <v>0.13300000000000001</v>
      </c>
      <c r="I21" s="12">
        <v>0.13800000000000001</v>
      </c>
      <c r="J21" s="12">
        <v>0.126</v>
      </c>
      <c r="K21" s="12">
        <v>0.121</v>
      </c>
      <c r="L21" s="14"/>
      <c r="M21" s="14"/>
      <c r="N21" s="23"/>
    </row>
    <row r="22" spans="1:14" x14ac:dyDescent="0.2">
      <c r="A22" s="10" t="s">
        <v>2</v>
      </c>
      <c r="B22" s="13">
        <v>0.16900000000000001</v>
      </c>
      <c r="C22" s="14">
        <v>0.17100000000000001</v>
      </c>
      <c r="D22" s="14">
        <v>0.122</v>
      </c>
      <c r="E22" s="14">
        <v>0.121</v>
      </c>
      <c r="F22" s="14">
        <v>0.11700000000000001</v>
      </c>
      <c r="G22" s="14">
        <v>0.12</v>
      </c>
      <c r="H22" s="14">
        <v>0.13300000000000001</v>
      </c>
      <c r="I22" s="14">
        <v>0.13300000000000001</v>
      </c>
      <c r="J22" s="14">
        <v>0.13200000000000001</v>
      </c>
      <c r="K22" s="14">
        <v>0.13400000000000001</v>
      </c>
      <c r="L22" s="14"/>
      <c r="M22" s="14"/>
      <c r="N22" s="23"/>
    </row>
    <row r="23" spans="1:14" x14ac:dyDescent="0.2">
      <c r="A23" s="10" t="s">
        <v>3</v>
      </c>
      <c r="B23" s="13">
        <v>0.125</v>
      </c>
      <c r="C23" s="14">
        <v>0.125</v>
      </c>
      <c r="D23" s="14">
        <v>0.114</v>
      </c>
      <c r="E23" s="14">
        <v>0.11600000000000001</v>
      </c>
      <c r="F23" s="14">
        <v>0.154</v>
      </c>
      <c r="G23" s="14">
        <v>0.13300000000000001</v>
      </c>
      <c r="H23" s="14">
        <v>0.17699999999999999</v>
      </c>
      <c r="I23" s="14">
        <v>0.128</v>
      </c>
      <c r="J23" s="14">
        <v>0.123</v>
      </c>
      <c r="K23" s="14">
        <v>0.126</v>
      </c>
      <c r="L23" s="14"/>
      <c r="M23" s="14"/>
      <c r="N23" s="23"/>
    </row>
    <row r="24" spans="1:14" x14ac:dyDescent="0.2">
      <c r="A24" s="10" t="s">
        <v>4</v>
      </c>
      <c r="B24" s="13">
        <v>9.8000000000000004E-2</v>
      </c>
      <c r="C24" s="14">
        <v>9.7000000000000003E-2</v>
      </c>
      <c r="D24" s="14">
        <v>0.11</v>
      </c>
      <c r="E24" s="14">
        <v>0.111</v>
      </c>
      <c r="F24" s="14">
        <v>0.113</v>
      </c>
      <c r="G24" s="14">
        <v>0.112</v>
      </c>
      <c r="H24" s="14">
        <v>0.122</v>
      </c>
      <c r="I24" s="14">
        <v>0.122</v>
      </c>
      <c r="J24" s="14">
        <v>0.13200000000000001</v>
      </c>
      <c r="K24" s="14">
        <v>0.13500000000000001</v>
      </c>
      <c r="L24" s="14"/>
      <c r="M24" s="14"/>
      <c r="N24" s="23"/>
    </row>
    <row r="25" spans="1:14" x14ac:dyDescent="0.2">
      <c r="A25" s="10" t="s">
        <v>5</v>
      </c>
      <c r="B25" s="13">
        <v>8.4000000000000005E-2</v>
      </c>
      <c r="C25" s="14">
        <v>8.3000000000000004E-2</v>
      </c>
      <c r="D25" s="14">
        <v>0.126</v>
      </c>
      <c r="E25" s="14">
        <v>0.126</v>
      </c>
      <c r="F25" s="14">
        <v>0.12</v>
      </c>
      <c r="G25" s="14">
        <v>0.12</v>
      </c>
      <c r="H25" s="14">
        <v>0.121</v>
      </c>
      <c r="I25" s="14">
        <v>0.122</v>
      </c>
      <c r="J25" s="14">
        <v>0.121</v>
      </c>
      <c r="K25" s="14">
        <v>0.11700000000000001</v>
      </c>
      <c r="L25" s="14"/>
      <c r="M25" s="14"/>
      <c r="N25" s="23"/>
    </row>
    <row r="26" spans="1:14" x14ac:dyDescent="0.2">
      <c r="A26" s="10" t="s">
        <v>6</v>
      </c>
      <c r="B26" s="13">
        <v>5.8999999999999997E-2</v>
      </c>
      <c r="C26" s="14">
        <v>5.8999999999999997E-2</v>
      </c>
      <c r="D26" s="14">
        <v>0.11700000000000001</v>
      </c>
      <c r="E26" s="14">
        <v>0.11799999999999999</v>
      </c>
      <c r="F26" s="14">
        <v>0.123</v>
      </c>
      <c r="G26" s="14">
        <v>0.122</v>
      </c>
      <c r="H26" s="14">
        <v>0.13400000000000001</v>
      </c>
      <c r="I26" s="14">
        <v>0.13200000000000001</v>
      </c>
      <c r="J26" s="14">
        <v>6.3E-2</v>
      </c>
      <c r="K26" s="14">
        <v>6.2E-2</v>
      </c>
      <c r="L26" s="14"/>
      <c r="M26" s="14"/>
      <c r="N26" s="23"/>
    </row>
    <row r="27" spans="1:14" x14ac:dyDescent="0.2">
      <c r="A27" s="10" t="s">
        <v>7</v>
      </c>
      <c r="B27" s="13">
        <v>0.09</v>
      </c>
      <c r="C27" s="14">
        <v>8.8999999999999996E-2</v>
      </c>
      <c r="D27" s="14">
        <v>0.124</v>
      </c>
      <c r="E27" s="14">
        <v>0.125</v>
      </c>
      <c r="F27" s="14">
        <v>0.12</v>
      </c>
      <c r="G27" s="14">
        <v>0.12</v>
      </c>
      <c r="H27" s="14">
        <v>0.11700000000000001</v>
      </c>
      <c r="I27" s="14">
        <v>0.11899999999999999</v>
      </c>
      <c r="J27" s="14"/>
      <c r="K27" s="14"/>
      <c r="L27" s="14"/>
      <c r="M27" s="14"/>
      <c r="N27" s="23"/>
    </row>
    <row r="28" spans="1:14" x14ac:dyDescent="0.2">
      <c r="A28" s="10" t="s">
        <v>14</v>
      </c>
      <c r="B28" s="15">
        <v>8.8999999999999996E-2</v>
      </c>
      <c r="C28" s="16">
        <v>8.8999999999999996E-2</v>
      </c>
      <c r="D28" s="16">
        <v>0.12</v>
      </c>
      <c r="E28" s="16">
        <v>0.122</v>
      </c>
      <c r="F28" s="16">
        <v>0.127</v>
      </c>
      <c r="G28" s="16">
        <v>0.13</v>
      </c>
      <c r="H28" s="16">
        <v>0.11</v>
      </c>
      <c r="I28" s="16">
        <v>0.112</v>
      </c>
      <c r="J28" s="16"/>
      <c r="K28" s="16"/>
      <c r="L28" s="14"/>
      <c r="M28" s="14"/>
      <c r="N28" s="23"/>
    </row>
    <row r="29" spans="1:14" x14ac:dyDescent="0.2">
      <c r="H29" s="26"/>
      <c r="I29" s="26"/>
      <c r="J29" s="26"/>
      <c r="K29" s="26"/>
      <c r="L29" s="26"/>
      <c r="M29" s="23"/>
      <c r="N29" s="23"/>
    </row>
    <row r="30" spans="1:14" ht="32" x14ac:dyDescent="0.2">
      <c r="F30" s="37"/>
      <c r="G30" s="40" t="s">
        <v>53</v>
      </c>
      <c r="H30" s="41" t="s">
        <v>54</v>
      </c>
      <c r="I30" s="41" t="s">
        <v>55</v>
      </c>
      <c r="J30" s="41" t="s">
        <v>77</v>
      </c>
      <c r="K30" s="33"/>
      <c r="L30" s="61"/>
      <c r="M30" s="23"/>
      <c r="N30" s="23"/>
    </row>
    <row r="31" spans="1:14" ht="32" x14ac:dyDescent="0.2">
      <c r="A31" s="35" t="s">
        <v>51</v>
      </c>
      <c r="B31" s="35" t="s">
        <v>16</v>
      </c>
      <c r="C31" s="36" t="s">
        <v>52</v>
      </c>
      <c r="D31" s="34"/>
      <c r="E31" s="57" t="s">
        <v>95</v>
      </c>
      <c r="F31" s="38" t="s">
        <v>20</v>
      </c>
      <c r="G31" s="3">
        <f>AVERAGE(D21:E21)</f>
        <v>0.123</v>
      </c>
      <c r="H31" s="3">
        <f>G31-$A$37</f>
        <v>6.4000000000000001E-2</v>
      </c>
      <c r="I31" s="3">
        <f>(H31-0.0006)/0.2139</f>
        <v>0.29640018700327253</v>
      </c>
      <c r="J31" s="3">
        <f>I31*5</f>
        <v>1.4820009350163628</v>
      </c>
      <c r="M31" s="23"/>
      <c r="N31" s="23"/>
    </row>
    <row r="32" spans="1:14" x14ac:dyDescent="0.2">
      <c r="A32" s="18">
        <f>AVERAGE(B21:C21)</f>
        <v>0.22900000000000001</v>
      </c>
      <c r="B32" s="19">
        <v>0.8</v>
      </c>
      <c r="C32">
        <f>A32-$A$37</f>
        <v>0.17</v>
      </c>
      <c r="E32" s="57" t="s">
        <v>96</v>
      </c>
      <c r="F32" s="38" t="s">
        <v>21</v>
      </c>
      <c r="G32" s="3">
        <f t="shared" ref="G32:G37" si="0">AVERAGE(D22:E22)</f>
        <v>0.1215</v>
      </c>
      <c r="H32" s="3">
        <f t="shared" ref="H32:H59" si="1">G32-$A$37</f>
        <v>6.25E-2</v>
      </c>
      <c r="I32" s="3">
        <f t="shared" ref="I32:I62" si="2">(H32-0.0006)/0.2139</f>
        <v>0.28938756428237494</v>
      </c>
      <c r="J32" s="3">
        <f t="shared" ref="J32:J62" si="3">I32*5</f>
        <v>1.4469378214118747</v>
      </c>
    </row>
    <row r="33" spans="1:18" x14ac:dyDescent="0.2">
      <c r="A33" s="18">
        <f t="shared" ref="A33:A36" si="4">AVERAGE(B22:C22)</f>
        <v>0.17</v>
      </c>
      <c r="B33" s="2">
        <v>0.5</v>
      </c>
      <c r="C33">
        <f>A33-$A$37</f>
        <v>0.11100000000000002</v>
      </c>
      <c r="E33" s="57" t="s">
        <v>97</v>
      </c>
      <c r="F33" s="38" t="s">
        <v>22</v>
      </c>
      <c r="G33" s="3">
        <f t="shared" si="0"/>
        <v>0.115</v>
      </c>
      <c r="H33" s="3">
        <f t="shared" si="1"/>
        <v>5.6000000000000008E-2</v>
      </c>
      <c r="I33" s="3">
        <f t="shared" si="2"/>
        <v>0.25899953249181862</v>
      </c>
      <c r="J33" s="3">
        <f t="shared" si="3"/>
        <v>1.2949976624590931</v>
      </c>
    </row>
    <row r="34" spans="1:18" x14ac:dyDescent="0.2">
      <c r="A34" s="18">
        <f t="shared" si="4"/>
        <v>0.125</v>
      </c>
      <c r="B34" s="2">
        <v>0.3</v>
      </c>
      <c r="C34">
        <f t="shared" ref="C34:C37" si="5">A34-$A$37</f>
        <v>6.6000000000000003E-2</v>
      </c>
      <c r="E34" s="90" t="s">
        <v>98</v>
      </c>
      <c r="F34" s="38" t="s">
        <v>23</v>
      </c>
      <c r="G34" s="3">
        <f>AVERAGE(D24:E24)</f>
        <v>0.1105</v>
      </c>
      <c r="H34" s="3">
        <f t="shared" si="1"/>
        <v>5.1500000000000004E-2</v>
      </c>
      <c r="I34" s="3">
        <f t="shared" si="2"/>
        <v>0.23796166432912574</v>
      </c>
      <c r="J34" s="3">
        <f t="shared" si="3"/>
        <v>1.1898083216456288</v>
      </c>
    </row>
    <row r="35" spans="1:18" x14ac:dyDescent="0.2">
      <c r="A35" s="18">
        <f t="shared" si="4"/>
        <v>9.7500000000000003E-2</v>
      </c>
      <c r="B35" s="2">
        <v>0.2</v>
      </c>
      <c r="C35">
        <f t="shared" si="5"/>
        <v>3.8500000000000006E-2</v>
      </c>
      <c r="E35" s="57" t="s">
        <v>113</v>
      </c>
      <c r="F35" s="38" t="s">
        <v>24</v>
      </c>
      <c r="G35" s="3">
        <f t="shared" si="0"/>
        <v>0.126</v>
      </c>
      <c r="H35" s="3">
        <f t="shared" si="1"/>
        <v>6.7000000000000004E-2</v>
      </c>
      <c r="I35" s="3">
        <f t="shared" si="2"/>
        <v>0.31042543244506776</v>
      </c>
      <c r="J35" s="3">
        <f t="shared" si="3"/>
        <v>1.5521271622253388</v>
      </c>
    </row>
    <row r="36" spans="1:18" x14ac:dyDescent="0.2">
      <c r="A36" s="18">
        <f t="shared" si="4"/>
        <v>8.3500000000000005E-2</v>
      </c>
      <c r="B36" s="2">
        <v>0.1</v>
      </c>
      <c r="C36">
        <f t="shared" si="5"/>
        <v>2.4500000000000008E-2</v>
      </c>
      <c r="E36" s="57" t="s">
        <v>114</v>
      </c>
      <c r="F36" s="38" t="s">
        <v>25</v>
      </c>
      <c r="G36" s="3">
        <f t="shared" si="0"/>
        <v>0.11749999999999999</v>
      </c>
      <c r="H36" s="3">
        <f t="shared" si="1"/>
        <v>5.8499999999999996E-2</v>
      </c>
      <c r="I36" s="3">
        <f t="shared" si="2"/>
        <v>0.27068723702664793</v>
      </c>
      <c r="J36" s="3">
        <f t="shared" si="3"/>
        <v>1.3534361851332397</v>
      </c>
    </row>
    <row r="37" spans="1:18" x14ac:dyDescent="0.2">
      <c r="A37" s="18">
        <f>AVERAGE(B26:C26)</f>
        <v>5.8999999999999997E-2</v>
      </c>
      <c r="B37" s="2">
        <v>0</v>
      </c>
      <c r="C37">
        <f t="shared" si="5"/>
        <v>0</v>
      </c>
      <c r="E37" s="57" t="s">
        <v>115</v>
      </c>
      <c r="F37" s="38" t="s">
        <v>26</v>
      </c>
      <c r="G37" s="3">
        <f t="shared" si="0"/>
        <v>0.1245</v>
      </c>
      <c r="H37" s="3">
        <f>G37-$A$37</f>
        <v>6.5500000000000003E-2</v>
      </c>
      <c r="I37" s="3">
        <f t="shared" si="2"/>
        <v>0.30341280972417017</v>
      </c>
      <c r="J37" s="3">
        <f t="shared" si="3"/>
        <v>1.5170640486208509</v>
      </c>
      <c r="M37" s="26"/>
      <c r="N37" s="26"/>
      <c r="O37" s="26"/>
      <c r="P37" s="26"/>
      <c r="Q37" s="26"/>
      <c r="R37" s="26"/>
    </row>
    <row r="38" spans="1:18" x14ac:dyDescent="0.2">
      <c r="E38" s="57" t="s">
        <v>116</v>
      </c>
      <c r="F38" s="38" t="s">
        <v>27</v>
      </c>
      <c r="G38" s="3">
        <f>AVERAGE(D28:E28)</f>
        <v>0.121</v>
      </c>
      <c r="H38" s="3">
        <f t="shared" si="1"/>
        <v>6.2E-2</v>
      </c>
      <c r="I38" s="3">
        <f>(H38-0.0006)/0.2139</f>
        <v>0.28705002337540902</v>
      </c>
      <c r="J38" s="3">
        <f t="shared" si="3"/>
        <v>1.4352501168770451</v>
      </c>
      <c r="M38" s="26"/>
      <c r="N38" s="26"/>
      <c r="O38" s="26"/>
      <c r="P38" s="26"/>
      <c r="Q38" s="26"/>
      <c r="R38" s="26"/>
    </row>
    <row r="39" spans="1:18" x14ac:dyDescent="0.2">
      <c r="E39" s="57" t="s">
        <v>20</v>
      </c>
      <c r="F39" s="38" t="s">
        <v>28</v>
      </c>
      <c r="G39" s="3">
        <f>AVERAGE(F21:G21)</f>
        <v>0.11899999999999999</v>
      </c>
      <c r="H39" s="3">
        <f>G39-$A$37</f>
        <v>0.06</v>
      </c>
      <c r="I39" s="3">
        <f t="shared" si="2"/>
        <v>0.27769985974754557</v>
      </c>
      <c r="J39" s="3">
        <f t="shared" si="3"/>
        <v>1.3884992987377278</v>
      </c>
      <c r="M39" s="65"/>
      <c r="N39" s="66"/>
      <c r="O39" s="66"/>
      <c r="P39" s="66"/>
      <c r="Q39" s="66"/>
      <c r="R39" s="66"/>
    </row>
    <row r="40" spans="1:18" x14ac:dyDescent="0.2">
      <c r="E40" s="57" t="s">
        <v>21</v>
      </c>
      <c r="F40" s="38" t="s">
        <v>29</v>
      </c>
      <c r="G40" s="3">
        <f>AVERAGE(F22:G22)</f>
        <v>0.11849999999999999</v>
      </c>
      <c r="H40" s="3">
        <f t="shared" si="1"/>
        <v>5.9499999999999997E-2</v>
      </c>
      <c r="I40" s="3">
        <f>(H40-0.0006)/0.2139</f>
        <v>0.27536231884057966</v>
      </c>
      <c r="J40" s="3">
        <f t="shared" si="3"/>
        <v>1.3768115942028982</v>
      </c>
      <c r="M40" s="26"/>
      <c r="N40" s="67"/>
      <c r="O40" s="67"/>
      <c r="P40" s="67"/>
      <c r="Q40" s="67"/>
      <c r="R40" s="67"/>
    </row>
    <row r="41" spans="1:18" x14ac:dyDescent="0.2">
      <c r="E41" s="57" t="s">
        <v>22</v>
      </c>
      <c r="F41" s="38" t="s">
        <v>30</v>
      </c>
      <c r="G41" s="3">
        <f t="shared" ref="G41:G45" si="6">AVERAGE(F23:G23)</f>
        <v>0.14350000000000002</v>
      </c>
      <c r="H41" s="3">
        <f t="shared" si="1"/>
        <v>8.450000000000002E-2</v>
      </c>
      <c r="I41" s="3">
        <f t="shared" si="2"/>
        <v>0.3922393641888734</v>
      </c>
      <c r="J41" s="3">
        <f t="shared" si="3"/>
        <v>1.9611968209443669</v>
      </c>
      <c r="M41" s="26"/>
      <c r="N41" s="67"/>
      <c r="O41" s="67"/>
      <c r="P41" s="67"/>
      <c r="Q41" s="67"/>
      <c r="R41" s="67"/>
    </row>
    <row r="42" spans="1:18" x14ac:dyDescent="0.2">
      <c r="E42" s="57" t="s">
        <v>23</v>
      </c>
      <c r="F42" s="38" t="s">
        <v>31</v>
      </c>
      <c r="G42" s="3">
        <f t="shared" si="6"/>
        <v>0.1125</v>
      </c>
      <c r="H42" s="3">
        <f t="shared" si="1"/>
        <v>5.3500000000000006E-2</v>
      </c>
      <c r="I42" s="3">
        <f t="shared" si="2"/>
        <v>0.24731182795698925</v>
      </c>
      <c r="J42" s="3">
        <f t="shared" si="3"/>
        <v>1.2365591397849462</v>
      </c>
      <c r="M42" s="26"/>
      <c r="N42" s="26"/>
      <c r="O42" s="26"/>
      <c r="P42" s="26"/>
      <c r="Q42" s="26"/>
      <c r="R42" s="26"/>
    </row>
    <row r="43" spans="1:18" x14ac:dyDescent="0.2">
      <c r="E43" s="57" t="s">
        <v>24</v>
      </c>
      <c r="F43" s="39" t="s">
        <v>32</v>
      </c>
      <c r="G43" s="3">
        <f t="shared" si="6"/>
        <v>0.12</v>
      </c>
      <c r="H43" s="3">
        <f>G43-$A$37</f>
        <v>6.0999999999999999E-2</v>
      </c>
      <c r="I43" s="3">
        <f t="shared" si="2"/>
        <v>0.2823749415614773</v>
      </c>
      <c r="J43" s="3">
        <f t="shared" si="3"/>
        <v>1.4118747078073866</v>
      </c>
      <c r="M43" s="26"/>
      <c r="N43" s="26"/>
      <c r="O43" s="26"/>
      <c r="P43" s="26"/>
      <c r="Q43" s="26"/>
      <c r="R43" s="26"/>
    </row>
    <row r="44" spans="1:18" x14ac:dyDescent="0.2">
      <c r="E44" s="57" t="s">
        <v>25</v>
      </c>
      <c r="F44" s="38" t="s">
        <v>33</v>
      </c>
      <c r="G44" s="3">
        <f>AVERAGE(F26:G26)</f>
        <v>0.1225</v>
      </c>
      <c r="H44" s="3">
        <f t="shared" si="1"/>
        <v>6.3500000000000001E-2</v>
      </c>
      <c r="I44" s="3">
        <f t="shared" si="2"/>
        <v>0.29406264609630667</v>
      </c>
      <c r="J44" s="3">
        <f t="shared" si="3"/>
        <v>1.4703132304815334</v>
      </c>
      <c r="M44" s="26"/>
      <c r="N44" s="26"/>
      <c r="O44" s="26"/>
      <c r="P44" s="26"/>
      <c r="Q44" s="26"/>
      <c r="R44" s="26"/>
    </row>
    <row r="45" spans="1:18" x14ac:dyDescent="0.2">
      <c r="E45" s="57" t="s">
        <v>26</v>
      </c>
      <c r="F45" s="38" t="s">
        <v>34</v>
      </c>
      <c r="G45" s="3">
        <f t="shared" si="6"/>
        <v>0.12</v>
      </c>
      <c r="H45" s="3">
        <f t="shared" si="1"/>
        <v>6.0999999999999999E-2</v>
      </c>
      <c r="I45" s="3">
        <f t="shared" si="2"/>
        <v>0.2823749415614773</v>
      </c>
      <c r="J45" s="3">
        <f t="shared" si="3"/>
        <v>1.4118747078073866</v>
      </c>
      <c r="M45" s="26"/>
      <c r="N45" s="26"/>
      <c r="O45" s="26"/>
      <c r="P45" s="26"/>
      <c r="Q45" s="26"/>
      <c r="R45" s="26"/>
    </row>
    <row r="46" spans="1:18" x14ac:dyDescent="0.2">
      <c r="E46" s="57" t="s">
        <v>27</v>
      </c>
      <c r="F46" s="38" t="s">
        <v>35</v>
      </c>
      <c r="G46" s="3">
        <f>AVERAGE(F28:G28)</f>
        <v>0.1285</v>
      </c>
      <c r="H46" s="3">
        <f t="shared" si="1"/>
        <v>6.9500000000000006E-2</v>
      </c>
      <c r="I46" s="3">
        <f t="shared" si="2"/>
        <v>0.32211313697989713</v>
      </c>
      <c r="J46" s="3">
        <f t="shared" si="3"/>
        <v>1.6105656848994856</v>
      </c>
      <c r="M46" s="26"/>
      <c r="N46" s="26"/>
      <c r="O46" s="26"/>
      <c r="P46" s="26"/>
      <c r="Q46" s="26"/>
      <c r="R46" s="26"/>
    </row>
    <row r="47" spans="1:18" x14ac:dyDescent="0.2">
      <c r="E47" s="57" t="s">
        <v>99</v>
      </c>
      <c r="F47" s="38" t="s">
        <v>36</v>
      </c>
      <c r="G47" s="3">
        <f>AVERAGE(H21:I21)</f>
        <v>0.13550000000000001</v>
      </c>
      <c r="H47" s="3">
        <f t="shared" si="1"/>
        <v>7.6500000000000012E-2</v>
      </c>
      <c r="I47" s="3">
        <f t="shared" si="2"/>
        <v>0.35483870967741937</v>
      </c>
      <c r="J47" s="3">
        <f t="shared" si="3"/>
        <v>1.774193548387097</v>
      </c>
      <c r="M47" s="26"/>
      <c r="N47" s="26"/>
      <c r="O47" s="26"/>
      <c r="P47" s="26"/>
      <c r="Q47" s="26"/>
      <c r="R47" s="26"/>
    </row>
    <row r="48" spans="1:18" x14ac:dyDescent="0.2">
      <c r="E48" s="57" t="s">
        <v>100</v>
      </c>
      <c r="F48" s="38" t="s">
        <v>37</v>
      </c>
      <c r="G48" s="3">
        <f t="shared" ref="G48:G53" si="7">AVERAGE(H22:I22)</f>
        <v>0.13300000000000001</v>
      </c>
      <c r="H48" s="3">
        <f t="shared" si="1"/>
        <v>7.400000000000001E-2</v>
      </c>
      <c r="I48" s="3">
        <f t="shared" si="2"/>
        <v>0.34315100514259</v>
      </c>
      <c r="J48" s="3">
        <f>I48*5</f>
        <v>1.7157550257129501</v>
      </c>
      <c r="M48" s="26"/>
      <c r="N48" s="26"/>
      <c r="O48" s="26"/>
      <c r="P48" s="26"/>
      <c r="Q48" s="26"/>
      <c r="R48" s="26"/>
    </row>
    <row r="49" spans="5:11" x14ac:dyDescent="0.2">
      <c r="E49" s="57" t="s">
        <v>101</v>
      </c>
      <c r="F49" s="38" t="s">
        <v>38</v>
      </c>
      <c r="G49" s="3">
        <f>AVERAGE(H23:I23)</f>
        <v>0.1525</v>
      </c>
      <c r="H49" s="3">
        <f t="shared" si="1"/>
        <v>9.35E-2</v>
      </c>
      <c r="I49" s="3">
        <f t="shared" si="2"/>
        <v>0.43431510051425898</v>
      </c>
      <c r="J49" s="3">
        <f t="shared" si="3"/>
        <v>2.1715755025712951</v>
      </c>
    </row>
    <row r="50" spans="5:11" x14ac:dyDescent="0.2">
      <c r="E50" s="57" t="s">
        <v>102</v>
      </c>
      <c r="F50" s="38" t="s">
        <v>39</v>
      </c>
      <c r="G50" s="3">
        <f t="shared" si="7"/>
        <v>0.122</v>
      </c>
      <c r="H50" s="3">
        <f t="shared" si="1"/>
        <v>6.3E-2</v>
      </c>
      <c r="I50" s="3">
        <f t="shared" si="2"/>
        <v>0.29172510518934081</v>
      </c>
      <c r="J50" s="3">
        <f t="shared" si="3"/>
        <v>1.458625525946704</v>
      </c>
    </row>
    <row r="51" spans="5:11" x14ac:dyDescent="0.2">
      <c r="E51" s="57" t="s">
        <v>103</v>
      </c>
      <c r="F51" s="38" t="s">
        <v>40</v>
      </c>
      <c r="G51" s="3">
        <f t="shared" si="7"/>
        <v>0.1215</v>
      </c>
      <c r="H51" s="3">
        <f t="shared" si="1"/>
        <v>6.25E-2</v>
      </c>
      <c r="I51" s="3">
        <f t="shared" si="2"/>
        <v>0.28938756428237494</v>
      </c>
      <c r="J51" s="3">
        <f t="shared" si="3"/>
        <v>1.4469378214118747</v>
      </c>
    </row>
    <row r="52" spans="5:11" x14ac:dyDescent="0.2">
      <c r="E52" s="57" t="s">
        <v>110</v>
      </c>
      <c r="F52" s="38" t="s">
        <v>41</v>
      </c>
      <c r="G52" s="3">
        <f t="shared" si="7"/>
        <v>0.13300000000000001</v>
      </c>
      <c r="H52" s="3">
        <f t="shared" si="1"/>
        <v>7.400000000000001E-2</v>
      </c>
      <c r="I52" s="3">
        <f t="shared" si="2"/>
        <v>0.34315100514259</v>
      </c>
      <c r="J52" s="3">
        <f t="shared" si="3"/>
        <v>1.7157550257129501</v>
      </c>
    </row>
    <row r="53" spans="5:11" x14ac:dyDescent="0.2">
      <c r="E53" s="57" t="s">
        <v>111</v>
      </c>
      <c r="F53" s="38" t="s">
        <v>67</v>
      </c>
      <c r="G53" s="3">
        <f t="shared" si="7"/>
        <v>0.11799999999999999</v>
      </c>
      <c r="H53" s="3">
        <f t="shared" si="1"/>
        <v>5.8999999999999997E-2</v>
      </c>
      <c r="I53" s="3">
        <f t="shared" si="2"/>
        <v>0.27302477793361379</v>
      </c>
      <c r="J53" s="3">
        <f t="shared" si="3"/>
        <v>1.3651238896680691</v>
      </c>
    </row>
    <row r="54" spans="5:11" x14ac:dyDescent="0.2">
      <c r="E54" s="57" t="s">
        <v>112</v>
      </c>
      <c r="F54" s="38" t="s">
        <v>68</v>
      </c>
      <c r="G54" s="3">
        <f>AVERAGE(H28:I28)</f>
        <v>0.111</v>
      </c>
      <c r="H54" s="3">
        <f t="shared" si="1"/>
        <v>5.2000000000000005E-2</v>
      </c>
      <c r="I54" s="3">
        <f t="shared" si="2"/>
        <v>0.24029920523609163</v>
      </c>
      <c r="J54" s="3">
        <f t="shared" si="3"/>
        <v>1.2014960261804581</v>
      </c>
    </row>
    <row r="55" spans="5:11" x14ac:dyDescent="0.2">
      <c r="E55" s="57" t="s">
        <v>87</v>
      </c>
      <c r="F55" s="38" t="s">
        <v>69</v>
      </c>
      <c r="G55" s="3">
        <f>AVERAGE(J21:K21)</f>
        <v>0.1235</v>
      </c>
      <c r="H55" s="3">
        <f t="shared" si="1"/>
        <v>6.4500000000000002E-2</v>
      </c>
      <c r="I55" s="3">
        <f>(H55-0.0006)/0.2139</f>
        <v>0.29873772791023839</v>
      </c>
      <c r="J55" s="3">
        <f t="shared" si="3"/>
        <v>1.4936886395511919</v>
      </c>
    </row>
    <row r="56" spans="5:11" x14ac:dyDescent="0.2">
      <c r="E56" s="57" t="s">
        <v>88</v>
      </c>
      <c r="F56" s="39" t="s">
        <v>70</v>
      </c>
      <c r="G56" s="3">
        <f>AVERAGE(J22:K22)</f>
        <v>0.13300000000000001</v>
      </c>
      <c r="H56" s="3">
        <f t="shared" si="1"/>
        <v>7.400000000000001E-2</v>
      </c>
      <c r="I56" s="3">
        <f t="shared" si="2"/>
        <v>0.34315100514259</v>
      </c>
      <c r="J56" s="3">
        <f t="shared" si="3"/>
        <v>1.7157550257129501</v>
      </c>
    </row>
    <row r="57" spans="5:11" x14ac:dyDescent="0.2">
      <c r="E57" s="57" t="s">
        <v>89</v>
      </c>
      <c r="F57" s="38" t="s">
        <v>71</v>
      </c>
      <c r="G57" s="3">
        <f t="shared" ref="G57:G58" si="8">AVERAGE(J23:K23)</f>
        <v>0.1245</v>
      </c>
      <c r="H57" s="3">
        <f t="shared" si="1"/>
        <v>6.5500000000000003E-2</v>
      </c>
      <c r="I57" s="3">
        <f t="shared" si="2"/>
        <v>0.30341280972417017</v>
      </c>
      <c r="J57" s="3">
        <f t="shared" si="3"/>
        <v>1.5170640486208509</v>
      </c>
    </row>
    <row r="58" spans="5:11" x14ac:dyDescent="0.2">
      <c r="E58" s="57" t="s">
        <v>90</v>
      </c>
      <c r="F58" s="38" t="s">
        <v>72</v>
      </c>
      <c r="G58" s="3">
        <f t="shared" si="8"/>
        <v>0.13350000000000001</v>
      </c>
      <c r="H58" s="3">
        <f t="shared" si="1"/>
        <v>7.4500000000000011E-2</v>
      </c>
      <c r="I58" s="3">
        <f t="shared" si="2"/>
        <v>0.34548854604955587</v>
      </c>
      <c r="J58" s="3">
        <f t="shared" si="3"/>
        <v>1.7274427302477793</v>
      </c>
    </row>
    <row r="59" spans="5:11" x14ac:dyDescent="0.2">
      <c r="E59" s="57" t="s">
        <v>91</v>
      </c>
      <c r="F59" s="38" t="s">
        <v>73</v>
      </c>
      <c r="G59" s="3">
        <f>AVERAGE(J25:K25)</f>
        <v>0.11899999999999999</v>
      </c>
      <c r="H59" s="3">
        <f t="shared" si="1"/>
        <v>0.06</v>
      </c>
      <c r="I59" s="3">
        <f t="shared" si="2"/>
        <v>0.27769985974754557</v>
      </c>
      <c r="J59" s="3">
        <f t="shared" si="3"/>
        <v>1.3884992987377278</v>
      </c>
    </row>
    <row r="60" spans="5:11" x14ac:dyDescent="0.2">
      <c r="E60" s="51"/>
      <c r="F60" s="62" t="s">
        <v>92</v>
      </c>
      <c r="G60" s="62">
        <f>AVERAGE(B27:C27)</f>
        <v>8.9499999999999996E-2</v>
      </c>
      <c r="H60" s="62">
        <f>G60-$A$37</f>
        <v>3.0499999999999999E-2</v>
      </c>
      <c r="I60" s="62">
        <f>(H60-0.0006)/0.2139</f>
        <v>0.13978494623655913</v>
      </c>
      <c r="J60" s="62">
        <f t="shared" si="3"/>
        <v>0.69892473118279563</v>
      </c>
    </row>
    <row r="61" spans="5:11" x14ac:dyDescent="0.2">
      <c r="E61" s="51"/>
      <c r="F61" s="62" t="s">
        <v>93</v>
      </c>
      <c r="G61" s="62">
        <f>AVERAGE(B28:C28)</f>
        <v>8.8999999999999996E-2</v>
      </c>
      <c r="H61" s="62">
        <f>G61-$A$37</f>
        <v>0.03</v>
      </c>
      <c r="I61" s="62">
        <f t="shared" si="2"/>
        <v>0.13744740532959326</v>
      </c>
      <c r="J61" s="62">
        <f t="shared" si="3"/>
        <v>0.68723702664796638</v>
      </c>
    </row>
    <row r="62" spans="5:11" x14ac:dyDescent="0.2">
      <c r="E62" s="51"/>
      <c r="F62" s="29" t="s">
        <v>94</v>
      </c>
      <c r="G62" s="52">
        <f>AVERAGE(J26:K26)</f>
        <v>6.25E-2</v>
      </c>
      <c r="H62" s="52">
        <f>G62-$A$37</f>
        <v>3.5000000000000031E-3</v>
      </c>
      <c r="I62" s="3">
        <f t="shared" si="2"/>
        <v>1.3557737260402072E-2</v>
      </c>
      <c r="J62" s="3">
        <f t="shared" si="3"/>
        <v>6.7788686302010362E-2</v>
      </c>
    </row>
    <row r="63" spans="5:11" x14ac:dyDescent="0.2">
      <c r="E63" s="23"/>
      <c r="F63" s="22"/>
      <c r="G63" s="23"/>
      <c r="H63" s="23"/>
      <c r="I63" s="23"/>
      <c r="J63" s="23"/>
      <c r="K63" s="23"/>
    </row>
    <row r="64" spans="5:11" x14ac:dyDescent="0.2">
      <c r="E64" s="23"/>
      <c r="F64" s="22"/>
      <c r="G64" s="23"/>
      <c r="H64" s="23"/>
      <c r="I64" s="23"/>
      <c r="J64" s="23"/>
      <c r="K64" s="23"/>
    </row>
    <row r="65" spans="5:11" x14ac:dyDescent="0.2">
      <c r="E65" s="23"/>
      <c r="F65" s="22"/>
      <c r="G65" s="23"/>
      <c r="H65" s="23"/>
      <c r="I65" s="23"/>
      <c r="J65" s="23"/>
      <c r="K65" s="23"/>
    </row>
    <row r="66" spans="5:11" x14ac:dyDescent="0.2">
      <c r="E66" s="23"/>
      <c r="F66" s="22"/>
      <c r="G66" s="23"/>
      <c r="H66" s="23"/>
      <c r="I66" s="23"/>
      <c r="J66" s="23"/>
      <c r="K66" s="23"/>
    </row>
    <row r="67" spans="5:11" x14ac:dyDescent="0.2">
      <c r="E67" s="23"/>
      <c r="F67" s="22"/>
      <c r="G67" s="23"/>
      <c r="H67" s="23"/>
      <c r="I67" s="23"/>
      <c r="J67" s="23"/>
      <c r="K67" s="23"/>
    </row>
    <row r="68" spans="5:11" x14ac:dyDescent="0.2">
      <c r="E68" s="23"/>
      <c r="F68" s="23"/>
      <c r="G68" s="23"/>
      <c r="H68" s="23"/>
      <c r="I68" s="23"/>
      <c r="J68" s="23"/>
      <c r="K68" s="23"/>
    </row>
    <row r="69" spans="5:11" x14ac:dyDescent="0.2">
      <c r="E69" s="23"/>
      <c r="F69" s="23"/>
      <c r="G69" s="23"/>
      <c r="H69" s="23"/>
      <c r="I69" s="23"/>
      <c r="J69" s="23"/>
      <c r="K69" s="23"/>
    </row>
    <row r="70" spans="5:11" x14ac:dyDescent="0.2">
      <c r="E70" s="23"/>
      <c r="F70" s="23"/>
      <c r="G70" s="23"/>
      <c r="H70" s="23"/>
      <c r="I70" s="23"/>
      <c r="J70" s="23"/>
      <c r="K70" s="23"/>
    </row>
    <row r="71" spans="5:11" x14ac:dyDescent="0.2">
      <c r="E71" s="23"/>
      <c r="F71" s="23"/>
      <c r="G71" s="23"/>
      <c r="H71" s="23"/>
      <c r="I71" s="23"/>
      <c r="J71" s="23"/>
      <c r="K71" s="23"/>
    </row>
    <row r="72" spans="5:11" x14ac:dyDescent="0.2">
      <c r="E72" s="23"/>
      <c r="F72" s="23"/>
      <c r="G72" s="23"/>
      <c r="H72" s="23"/>
      <c r="I72" s="23"/>
      <c r="J72" s="23"/>
      <c r="K72" s="23"/>
    </row>
    <row r="73" spans="5:11" x14ac:dyDescent="0.2">
      <c r="E73" s="23"/>
      <c r="F73" s="23"/>
      <c r="G73" s="23"/>
      <c r="H73" s="23"/>
      <c r="I73" s="23"/>
      <c r="J73" s="23"/>
      <c r="K73" s="23"/>
    </row>
    <row r="74" spans="5:11" x14ac:dyDescent="0.2">
      <c r="E74" s="23"/>
      <c r="F74" s="23"/>
      <c r="G74" s="23"/>
      <c r="H74" s="23"/>
      <c r="I74" s="23"/>
      <c r="J74" s="23"/>
      <c r="K74" s="23"/>
    </row>
    <row r="75" spans="5:11" x14ac:dyDescent="0.2">
      <c r="E75" s="23"/>
      <c r="F75" s="23"/>
      <c r="G75" s="23"/>
      <c r="H75" s="23"/>
      <c r="I75" s="23"/>
      <c r="J75" s="23"/>
      <c r="K75" s="23"/>
    </row>
    <row r="76" spans="5:11" x14ac:dyDescent="0.2">
      <c r="E76" s="23"/>
      <c r="F76" s="23"/>
      <c r="G76" s="23"/>
      <c r="H76" s="23"/>
      <c r="I76" s="23"/>
      <c r="J76" s="23"/>
      <c r="K76" s="23"/>
    </row>
    <row r="77" spans="5:11" x14ac:dyDescent="0.2">
      <c r="E77" s="23"/>
      <c r="F77" s="23"/>
      <c r="G77" s="23"/>
      <c r="H77" s="23"/>
      <c r="I77" s="23"/>
      <c r="J77" s="23"/>
      <c r="K77" s="23"/>
    </row>
    <row r="78" spans="5:11" x14ac:dyDescent="0.2">
      <c r="E78" s="23"/>
      <c r="F78" s="23"/>
      <c r="G78" s="23"/>
      <c r="H78" s="23"/>
      <c r="I78" s="23"/>
      <c r="J78" s="23"/>
      <c r="K78" s="23"/>
    </row>
  </sheetData>
  <pageMargins left="0.7" right="0.7" top="0.75" bottom="0.75" header="0.3" footer="0.3"/>
  <pageSetup paperSize="9" scale="69" orientation="portrait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49"/>
  <sheetViews>
    <sheetView topLeftCell="A12" workbookViewId="0">
      <selection activeCell="A13" sqref="A13:A41"/>
    </sheetView>
  </sheetViews>
  <sheetFormatPr baseColWidth="10" defaultColWidth="8.83203125" defaultRowHeight="15" x14ac:dyDescent="0.2"/>
  <cols>
    <col min="1" max="1" width="6.5" customWidth="1"/>
    <col min="2" max="2" width="10" customWidth="1"/>
    <col min="3" max="14" width="9.1640625" customWidth="1"/>
    <col min="15" max="15" width="19.5" customWidth="1"/>
  </cols>
  <sheetData>
    <row r="1" spans="1:17" x14ac:dyDescent="0.2">
      <c r="B1" s="8" t="s">
        <v>42</v>
      </c>
      <c r="C1" s="1">
        <v>1</v>
      </c>
      <c r="D1" s="1">
        <v>2</v>
      </c>
      <c r="E1" s="1">
        <v>3</v>
      </c>
      <c r="F1" s="1">
        <v>4</v>
      </c>
      <c r="G1" s="1">
        <v>5</v>
      </c>
      <c r="H1" s="28">
        <v>6</v>
      </c>
      <c r="I1" s="22">
        <v>7</v>
      </c>
      <c r="J1" s="22">
        <v>8</v>
      </c>
      <c r="K1" s="22">
        <v>9</v>
      </c>
      <c r="L1" s="22">
        <v>10</v>
      </c>
      <c r="M1" s="22"/>
      <c r="N1" s="22"/>
      <c r="O1" s="23"/>
    </row>
    <row r="2" spans="1:17" x14ac:dyDescent="0.2">
      <c r="B2" s="1" t="s">
        <v>1</v>
      </c>
      <c r="C2" s="70" t="s">
        <v>43</v>
      </c>
      <c r="D2" s="70" t="s">
        <v>43</v>
      </c>
      <c r="E2" s="2" t="s">
        <v>43</v>
      </c>
      <c r="F2" s="2" t="s">
        <v>43</v>
      </c>
      <c r="G2" s="6" t="s">
        <v>20</v>
      </c>
      <c r="H2" s="6" t="s">
        <v>20</v>
      </c>
      <c r="I2" s="6" t="s">
        <v>28</v>
      </c>
      <c r="J2" s="29" t="s">
        <v>28</v>
      </c>
      <c r="K2" s="29" t="s">
        <v>36</v>
      </c>
      <c r="L2" s="29" t="s">
        <v>36</v>
      </c>
      <c r="M2" s="29" t="s">
        <v>69</v>
      </c>
      <c r="N2" s="29" t="s">
        <v>69</v>
      </c>
      <c r="O2" s="23"/>
      <c r="P2" s="23"/>
    </row>
    <row r="3" spans="1:17" x14ac:dyDescent="0.2">
      <c r="B3" s="1" t="s">
        <v>2</v>
      </c>
      <c r="C3" s="70" t="s">
        <v>44</v>
      </c>
      <c r="D3" s="70" t="s">
        <v>44</v>
      </c>
      <c r="E3" s="2" t="s">
        <v>44</v>
      </c>
      <c r="F3" s="2" t="s">
        <v>44</v>
      </c>
      <c r="G3" s="6" t="s">
        <v>21</v>
      </c>
      <c r="H3" s="6" t="s">
        <v>21</v>
      </c>
      <c r="I3" s="6" t="s">
        <v>29</v>
      </c>
      <c r="J3" s="29" t="s">
        <v>29</v>
      </c>
      <c r="K3" s="29" t="s">
        <v>37</v>
      </c>
      <c r="L3" s="29" t="s">
        <v>37</v>
      </c>
      <c r="M3" s="29" t="s">
        <v>70</v>
      </c>
      <c r="N3" s="29" t="s">
        <v>70</v>
      </c>
    </row>
    <row r="4" spans="1:17" x14ac:dyDescent="0.2">
      <c r="B4" s="1" t="s">
        <v>3</v>
      </c>
      <c r="C4" s="70" t="s">
        <v>45</v>
      </c>
      <c r="D4" s="70" t="s">
        <v>45</v>
      </c>
      <c r="E4" s="2" t="s">
        <v>45</v>
      </c>
      <c r="F4" s="2" t="s">
        <v>45</v>
      </c>
      <c r="G4" s="6" t="s">
        <v>22</v>
      </c>
      <c r="H4" s="6" t="s">
        <v>22</v>
      </c>
      <c r="I4" s="6" t="s">
        <v>30</v>
      </c>
      <c r="J4" s="29" t="s">
        <v>30</v>
      </c>
      <c r="K4" s="29" t="s">
        <v>38</v>
      </c>
      <c r="L4" s="29" t="s">
        <v>38</v>
      </c>
      <c r="M4" s="29" t="s">
        <v>71</v>
      </c>
      <c r="N4" s="29" t="s">
        <v>71</v>
      </c>
    </row>
    <row r="5" spans="1:17" x14ac:dyDescent="0.2">
      <c r="B5" s="1" t="s">
        <v>4</v>
      </c>
      <c r="C5" s="70" t="s">
        <v>46</v>
      </c>
      <c r="D5" s="70" t="s">
        <v>46</v>
      </c>
      <c r="E5" s="2" t="s">
        <v>46</v>
      </c>
      <c r="F5" s="2" t="s">
        <v>46</v>
      </c>
      <c r="G5" s="6" t="s">
        <v>23</v>
      </c>
      <c r="H5" s="6" t="s">
        <v>23</v>
      </c>
      <c r="I5" s="6" t="s">
        <v>31</v>
      </c>
      <c r="J5" s="29" t="s">
        <v>31</v>
      </c>
      <c r="K5" s="29" t="s">
        <v>39</v>
      </c>
      <c r="L5" s="29" t="s">
        <v>39</v>
      </c>
      <c r="M5" s="29" t="s">
        <v>72</v>
      </c>
      <c r="N5" s="29" t="s">
        <v>72</v>
      </c>
    </row>
    <row r="6" spans="1:17" x14ac:dyDescent="0.2">
      <c r="B6" s="1" t="s">
        <v>5</v>
      </c>
      <c r="C6" s="70" t="s">
        <v>47</v>
      </c>
      <c r="D6" s="70" t="s">
        <v>47</v>
      </c>
      <c r="E6" s="2" t="s">
        <v>47</v>
      </c>
      <c r="F6" s="2" t="s">
        <v>47</v>
      </c>
      <c r="G6" s="6" t="s">
        <v>24</v>
      </c>
      <c r="H6" s="6" t="s">
        <v>24</v>
      </c>
      <c r="I6" s="6" t="s">
        <v>32</v>
      </c>
      <c r="J6" s="29" t="s">
        <v>32</v>
      </c>
      <c r="K6" s="29" t="s">
        <v>40</v>
      </c>
      <c r="L6" s="29" t="s">
        <v>40</v>
      </c>
      <c r="M6" s="29" t="s">
        <v>73</v>
      </c>
      <c r="N6" s="29" t="s">
        <v>73</v>
      </c>
    </row>
    <row r="7" spans="1:17" x14ac:dyDescent="0.2">
      <c r="B7" s="1" t="s">
        <v>6</v>
      </c>
      <c r="C7" s="70" t="s">
        <v>48</v>
      </c>
      <c r="D7" s="70" t="s">
        <v>48</v>
      </c>
      <c r="E7" s="2" t="s">
        <v>48</v>
      </c>
      <c r="F7" s="2" t="s">
        <v>48</v>
      </c>
      <c r="G7" s="6" t="s">
        <v>25</v>
      </c>
      <c r="H7" s="6" t="s">
        <v>25</v>
      </c>
      <c r="I7" s="6" t="s">
        <v>33</v>
      </c>
      <c r="J7" s="29" t="s">
        <v>33</v>
      </c>
      <c r="K7" s="29" t="s">
        <v>41</v>
      </c>
      <c r="L7" s="29" t="s">
        <v>41</v>
      </c>
      <c r="M7" s="56"/>
      <c r="N7" s="56"/>
    </row>
    <row r="8" spans="1:17" x14ac:dyDescent="0.2">
      <c r="B8" s="1" t="s">
        <v>7</v>
      </c>
      <c r="C8" s="70" t="s">
        <v>49</v>
      </c>
      <c r="D8" s="70" t="s">
        <v>49</v>
      </c>
      <c r="E8" s="2" t="s">
        <v>49</v>
      </c>
      <c r="F8" s="2" t="s">
        <v>49</v>
      </c>
      <c r="G8" s="6" t="s">
        <v>26</v>
      </c>
      <c r="H8" s="6" t="s">
        <v>26</v>
      </c>
      <c r="I8" s="6" t="s">
        <v>34</v>
      </c>
      <c r="J8" s="29" t="s">
        <v>34</v>
      </c>
      <c r="K8" s="29" t="s">
        <v>67</v>
      </c>
      <c r="L8" s="29" t="s">
        <v>67</v>
      </c>
      <c r="M8" s="56"/>
      <c r="N8" s="56"/>
    </row>
    <row r="9" spans="1:17" x14ac:dyDescent="0.2">
      <c r="B9" s="1" t="s">
        <v>14</v>
      </c>
      <c r="C9" s="70" t="s">
        <v>50</v>
      </c>
      <c r="D9" s="70" t="s">
        <v>50</v>
      </c>
      <c r="E9" s="2" t="s">
        <v>50</v>
      </c>
      <c r="F9" s="2" t="s">
        <v>50</v>
      </c>
      <c r="G9" s="6" t="s">
        <v>27</v>
      </c>
      <c r="H9" s="6" t="s">
        <v>27</v>
      </c>
      <c r="I9" s="6" t="s">
        <v>35</v>
      </c>
      <c r="J9" s="29" t="s">
        <v>35</v>
      </c>
      <c r="K9" s="29" t="s">
        <v>68</v>
      </c>
      <c r="L9" s="29" t="s">
        <v>68</v>
      </c>
      <c r="M9" s="56"/>
      <c r="N9" s="56"/>
    </row>
    <row r="10" spans="1:17" x14ac:dyDescent="0.2">
      <c r="C10" s="85" t="s">
        <v>104</v>
      </c>
      <c r="D10" s="86"/>
      <c r="E10" s="87" t="s">
        <v>105</v>
      </c>
      <c r="F10" s="88"/>
      <c r="I10" s="23"/>
      <c r="J10" s="23"/>
    </row>
    <row r="11" spans="1:17" x14ac:dyDescent="0.2"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3"/>
      <c r="P11" s="23"/>
      <c r="Q11" s="23"/>
    </row>
    <row r="12" spans="1:17" ht="42" customHeight="1" x14ac:dyDescent="0.2">
      <c r="B12" s="43" t="s">
        <v>74</v>
      </c>
      <c r="C12" s="21" t="s">
        <v>77</v>
      </c>
      <c r="D12" s="21" t="s">
        <v>56</v>
      </c>
      <c r="E12" s="21" t="s">
        <v>57</v>
      </c>
      <c r="F12" s="34" t="s">
        <v>58</v>
      </c>
      <c r="G12" s="42" t="s">
        <v>59</v>
      </c>
      <c r="H12" s="42" t="s">
        <v>60</v>
      </c>
      <c r="J12" s="32" t="s">
        <v>15</v>
      </c>
      <c r="K12" s="32" t="s">
        <v>78</v>
      </c>
      <c r="L12" s="32">
        <v>1</v>
      </c>
      <c r="M12" s="32" t="s">
        <v>16</v>
      </c>
      <c r="N12" s="23"/>
      <c r="O12" s="23"/>
      <c r="P12" s="23"/>
      <c r="Q12" s="23"/>
    </row>
    <row r="13" spans="1:17" x14ac:dyDescent="0.2">
      <c r="A13" s="57" t="s">
        <v>95</v>
      </c>
      <c r="B13" s="63" t="s">
        <v>20</v>
      </c>
      <c r="C13" s="68">
        <v>1.4820009350163628</v>
      </c>
      <c r="D13" s="20">
        <f>$C$16/C13</f>
        <v>0.80283911671924291</v>
      </c>
      <c r="E13" s="20">
        <f>55*D13</f>
        <v>44.156151419558363</v>
      </c>
      <c r="F13" s="20">
        <f>55-E13</f>
        <v>10.843848580441637</v>
      </c>
      <c r="G13" s="20">
        <f>(E13/(E13+F13))*C13</f>
        <v>1.1898083216456288</v>
      </c>
      <c r="H13" s="20">
        <f>G13*25</f>
        <v>29.745208041140721</v>
      </c>
      <c r="J13" s="23"/>
      <c r="K13" s="32" t="s">
        <v>79</v>
      </c>
      <c r="L13" s="32">
        <v>1000</v>
      </c>
      <c r="M13" s="32" t="s">
        <v>82</v>
      </c>
      <c r="N13" s="23"/>
      <c r="O13" s="23"/>
      <c r="P13" s="23"/>
      <c r="Q13" s="23"/>
    </row>
    <row r="14" spans="1:17" x14ac:dyDescent="0.2">
      <c r="A14" s="57" t="s">
        <v>96</v>
      </c>
      <c r="B14" s="63" t="s">
        <v>21</v>
      </c>
      <c r="C14" s="68">
        <v>1.4469378214118747</v>
      </c>
      <c r="D14" s="20">
        <f t="shared" ref="D14:D41" si="0">$C$16/C14</f>
        <v>0.82229402261712436</v>
      </c>
      <c r="E14" s="20">
        <f>55*D14</f>
        <v>45.226171243941842</v>
      </c>
      <c r="F14" s="20">
        <f>55-E14</f>
        <v>9.7738287560581583</v>
      </c>
      <c r="G14" s="20">
        <f>(E14/(E14+F14))*C14</f>
        <v>1.1898083216456288</v>
      </c>
      <c r="H14" s="99">
        <f t="shared" ref="H14:H41" si="1">G14*25</f>
        <v>29.745208041140721</v>
      </c>
      <c r="J14" s="23"/>
      <c r="K14" s="23"/>
      <c r="L14" s="23"/>
      <c r="M14" s="23"/>
      <c r="N14" s="23"/>
      <c r="O14" s="23"/>
      <c r="P14" s="23"/>
      <c r="Q14" s="23"/>
    </row>
    <row r="15" spans="1:17" x14ac:dyDescent="0.2">
      <c r="A15" s="57" t="s">
        <v>97</v>
      </c>
      <c r="B15" s="63" t="s">
        <v>22</v>
      </c>
      <c r="C15" s="68">
        <v>1.2949976624590931</v>
      </c>
      <c r="D15" s="20">
        <f t="shared" si="0"/>
        <v>0.91877256317689526</v>
      </c>
      <c r="E15" s="20">
        <f t="shared" ref="E15:E41" si="2">55*D15</f>
        <v>50.532490974729242</v>
      </c>
      <c r="F15" s="20">
        <f t="shared" ref="F15:F41" si="3">55-E15</f>
        <v>4.4675090252707577</v>
      </c>
      <c r="G15" s="20">
        <f t="shared" ref="G14:G41" si="4">(E15/(E15+F15))*C15</f>
        <v>1.1898083216456288</v>
      </c>
      <c r="H15" s="20">
        <f t="shared" si="1"/>
        <v>29.745208041140721</v>
      </c>
      <c r="J15" s="23"/>
      <c r="K15" s="48" t="s">
        <v>81</v>
      </c>
      <c r="L15" s="48" t="s">
        <v>80</v>
      </c>
      <c r="M15" s="23"/>
      <c r="N15" s="23"/>
      <c r="O15" s="23">
        <f>1.19*55</f>
        <v>65.45</v>
      </c>
      <c r="P15" s="23"/>
      <c r="Q15" s="23"/>
    </row>
    <row r="16" spans="1:17" x14ac:dyDescent="0.2">
      <c r="A16" s="74" t="s">
        <v>98</v>
      </c>
      <c r="B16" s="75" t="s">
        <v>23</v>
      </c>
      <c r="C16" s="69">
        <v>1.1898083216456288</v>
      </c>
      <c r="D16" s="20">
        <f t="shared" si="0"/>
        <v>1</v>
      </c>
      <c r="E16" s="20">
        <f t="shared" si="2"/>
        <v>55</v>
      </c>
      <c r="F16" s="20">
        <f t="shared" si="3"/>
        <v>0</v>
      </c>
      <c r="G16" s="20">
        <f t="shared" si="4"/>
        <v>1.1898083216456288</v>
      </c>
      <c r="H16" s="20">
        <f t="shared" si="1"/>
        <v>29.745208041140721</v>
      </c>
      <c r="J16" s="45">
        <v>500</v>
      </c>
      <c r="K16" s="23">
        <v>250</v>
      </c>
      <c r="L16" s="23">
        <v>250</v>
      </c>
      <c r="M16" s="23">
        <f>K16*L13/(K16+L16)</f>
        <v>500</v>
      </c>
      <c r="N16" s="23"/>
      <c r="O16" s="23">
        <f>O15/1.44</f>
        <v>45.451388888888893</v>
      </c>
      <c r="P16" s="23"/>
      <c r="Q16" s="23"/>
    </row>
    <row r="17" spans="1:17" x14ac:dyDescent="0.2">
      <c r="A17" s="57" t="s">
        <v>113</v>
      </c>
      <c r="B17" s="63" t="s">
        <v>24</v>
      </c>
      <c r="C17" s="68">
        <v>1.5521271622253388</v>
      </c>
      <c r="D17" s="20">
        <f t="shared" si="0"/>
        <v>0.76656626506024106</v>
      </c>
      <c r="E17" s="20">
        <f>55*D17</f>
        <v>42.161144578313255</v>
      </c>
      <c r="F17" s="20">
        <f>55-E17</f>
        <v>12.838855421686745</v>
      </c>
      <c r="G17" s="20">
        <f t="shared" si="4"/>
        <v>1.1898083216456288</v>
      </c>
      <c r="H17" s="20">
        <f t="shared" si="1"/>
        <v>29.745208041140721</v>
      </c>
      <c r="J17" s="45">
        <v>100</v>
      </c>
      <c r="K17" s="23">
        <v>100</v>
      </c>
      <c r="L17" s="23">
        <v>400</v>
      </c>
      <c r="M17" s="23">
        <f>K17*M16/(K17+L17)</f>
        <v>100</v>
      </c>
      <c r="N17" s="23"/>
      <c r="O17" s="23"/>
      <c r="P17" s="23"/>
      <c r="Q17" s="23"/>
    </row>
    <row r="18" spans="1:17" x14ac:dyDescent="0.2">
      <c r="A18" s="57" t="s">
        <v>114</v>
      </c>
      <c r="B18" s="63" t="s">
        <v>25</v>
      </c>
      <c r="C18" s="68">
        <v>1.3534361851332397</v>
      </c>
      <c r="D18" s="20">
        <f t="shared" si="0"/>
        <v>0.87910189982728848</v>
      </c>
      <c r="E18" s="20">
        <v>57.16</v>
      </c>
      <c r="F18" s="20">
        <v>12.84</v>
      </c>
      <c r="G18" s="99">
        <f t="shared" si="4"/>
        <v>1.105177319174514</v>
      </c>
      <c r="H18" s="99">
        <f t="shared" si="1"/>
        <v>27.62943297936285</v>
      </c>
      <c r="J18" s="45">
        <v>25</v>
      </c>
      <c r="K18" s="23">
        <v>100</v>
      </c>
      <c r="L18" s="23">
        <v>300</v>
      </c>
      <c r="M18" s="23">
        <f>K18*M17/(K18+L18)</f>
        <v>25</v>
      </c>
      <c r="N18" s="23"/>
      <c r="O18" s="23"/>
      <c r="P18" s="23"/>
      <c r="Q18" s="23"/>
    </row>
    <row r="19" spans="1:17" x14ac:dyDescent="0.2">
      <c r="A19" s="57" t="s">
        <v>115</v>
      </c>
      <c r="B19" s="63" t="s">
        <v>26</v>
      </c>
      <c r="C19" s="68">
        <v>1.51706404862085</v>
      </c>
      <c r="D19" s="20">
        <f t="shared" si="0"/>
        <v>0.78428351309707289</v>
      </c>
      <c r="E19" s="20">
        <v>42.9</v>
      </c>
      <c r="F19" s="20">
        <v>7.1</v>
      </c>
      <c r="G19" s="71">
        <f t="shared" si="4"/>
        <v>1.3016409537166893</v>
      </c>
      <c r="H19" s="71">
        <f t="shared" si="1"/>
        <v>32.541023842917234</v>
      </c>
      <c r="J19" s="45">
        <v>12.5</v>
      </c>
      <c r="K19" s="23">
        <v>200</v>
      </c>
      <c r="L19" s="23">
        <v>200</v>
      </c>
      <c r="M19" s="23">
        <f t="shared" ref="M19:M23" si="5">K19*M18/(K19+L19)</f>
        <v>12.5</v>
      </c>
      <c r="N19" s="23"/>
      <c r="O19" s="23"/>
      <c r="P19" s="23"/>
      <c r="Q19" s="23"/>
    </row>
    <row r="20" spans="1:17" x14ac:dyDescent="0.2">
      <c r="A20" s="57" t="s">
        <v>116</v>
      </c>
      <c r="B20" s="63" t="s">
        <v>27</v>
      </c>
      <c r="C20" s="68">
        <v>1.4352501168770451</v>
      </c>
      <c r="D20" s="20">
        <f t="shared" si="0"/>
        <v>0.82899022801302946</v>
      </c>
      <c r="E20" s="20">
        <f t="shared" si="2"/>
        <v>45.59446254071662</v>
      </c>
      <c r="F20" s="20">
        <f t="shared" si="3"/>
        <v>9.40553745928338</v>
      </c>
      <c r="G20" s="20">
        <f t="shared" si="4"/>
        <v>1.1898083216456288</v>
      </c>
      <c r="H20" s="20">
        <f t="shared" si="1"/>
        <v>29.745208041140721</v>
      </c>
      <c r="J20" s="45">
        <v>3.125</v>
      </c>
      <c r="K20" s="23">
        <v>100</v>
      </c>
      <c r="L20" s="23">
        <v>300</v>
      </c>
      <c r="M20" s="23">
        <f t="shared" si="5"/>
        <v>3.125</v>
      </c>
      <c r="N20" s="23"/>
      <c r="O20" s="23"/>
      <c r="P20" s="23"/>
      <c r="Q20" s="23"/>
    </row>
    <row r="21" spans="1:17" ht="13.5" customHeight="1" x14ac:dyDescent="0.2">
      <c r="A21" s="57" t="s">
        <v>20</v>
      </c>
      <c r="B21" s="63" t="s">
        <v>28</v>
      </c>
      <c r="C21" s="68">
        <v>1.3884992987377278</v>
      </c>
      <c r="D21" s="20">
        <f t="shared" si="0"/>
        <v>0.85690235690235694</v>
      </c>
      <c r="E21" s="20">
        <f t="shared" si="2"/>
        <v>47.129629629629633</v>
      </c>
      <c r="F21" s="20">
        <f t="shared" si="3"/>
        <v>7.8703703703703667</v>
      </c>
      <c r="G21" s="20">
        <f t="shared" si="4"/>
        <v>1.1898083216456288</v>
      </c>
      <c r="H21" s="20">
        <f t="shared" si="1"/>
        <v>29.745208041140721</v>
      </c>
      <c r="J21" s="45">
        <v>0.3125</v>
      </c>
      <c r="K21" s="23">
        <v>50</v>
      </c>
      <c r="L21" s="23">
        <v>450</v>
      </c>
      <c r="M21" s="23">
        <f t="shared" si="5"/>
        <v>0.3125</v>
      </c>
      <c r="N21" s="23"/>
      <c r="O21" s="23"/>
      <c r="P21" s="23"/>
      <c r="Q21" s="23"/>
    </row>
    <row r="22" spans="1:17" x14ac:dyDescent="0.2">
      <c r="A22" s="57" t="s">
        <v>21</v>
      </c>
      <c r="B22" s="63" t="s">
        <v>29</v>
      </c>
      <c r="C22" s="68">
        <v>1.3768115942028982</v>
      </c>
      <c r="D22" s="20">
        <f t="shared" si="0"/>
        <v>0.86417657045840424</v>
      </c>
      <c r="E22" s="20">
        <f t="shared" si="2"/>
        <v>47.52971137521223</v>
      </c>
      <c r="F22" s="20">
        <f t="shared" si="3"/>
        <v>7.47028862478777</v>
      </c>
      <c r="G22" s="20">
        <f t="shared" si="4"/>
        <v>1.1898083216456288</v>
      </c>
      <c r="H22" s="20">
        <f t="shared" si="1"/>
        <v>29.745208041140721</v>
      </c>
      <c r="J22" s="45">
        <v>3.125E-2</v>
      </c>
      <c r="K22" s="47">
        <v>50</v>
      </c>
      <c r="L22" s="23">
        <v>450</v>
      </c>
      <c r="M22" s="23">
        <f t="shared" si="5"/>
        <v>3.125E-2</v>
      </c>
      <c r="N22" s="23"/>
      <c r="O22" s="23"/>
      <c r="P22" s="23"/>
      <c r="Q22" s="23"/>
    </row>
    <row r="23" spans="1:17" x14ac:dyDescent="0.2">
      <c r="A23" s="57" t="s">
        <v>22</v>
      </c>
      <c r="B23" s="63" t="s">
        <v>30</v>
      </c>
      <c r="C23" s="68">
        <v>1.9611968209443669</v>
      </c>
      <c r="D23" s="20">
        <f t="shared" si="0"/>
        <v>0.60667461263408806</v>
      </c>
      <c r="E23" s="20">
        <f t="shared" si="2"/>
        <v>33.367103694874842</v>
      </c>
      <c r="F23" s="20">
        <f t="shared" si="3"/>
        <v>21.632896305125158</v>
      </c>
      <c r="G23" s="20">
        <f t="shared" si="4"/>
        <v>1.1898083216456288</v>
      </c>
      <c r="H23" s="20">
        <f t="shared" si="1"/>
        <v>29.745208041140721</v>
      </c>
      <c r="J23" s="45">
        <v>0</v>
      </c>
      <c r="K23" s="47">
        <v>0</v>
      </c>
      <c r="L23" s="23">
        <v>100</v>
      </c>
      <c r="M23" s="23">
        <f t="shared" si="5"/>
        <v>0</v>
      </c>
      <c r="N23" s="23"/>
      <c r="O23" s="23"/>
      <c r="P23" s="23"/>
      <c r="Q23" s="23"/>
    </row>
    <row r="24" spans="1:17" x14ac:dyDescent="0.2">
      <c r="A24" s="57" t="s">
        <v>23</v>
      </c>
      <c r="B24" s="63" t="s">
        <v>31</v>
      </c>
      <c r="C24" s="68">
        <v>1.2365591397849462</v>
      </c>
      <c r="D24" s="20">
        <f t="shared" si="0"/>
        <v>0.96219281663516065</v>
      </c>
      <c r="E24" s="20">
        <f t="shared" si="2"/>
        <v>52.920604914933833</v>
      </c>
      <c r="F24" s="20">
        <f t="shared" si="3"/>
        <v>2.0793950850661673</v>
      </c>
      <c r="G24" s="20">
        <f t="shared" si="4"/>
        <v>1.1898083216456286</v>
      </c>
      <c r="H24" s="20">
        <f t="shared" si="1"/>
        <v>29.745208041140714</v>
      </c>
      <c r="J24" s="23"/>
      <c r="K24" s="22"/>
      <c r="L24" s="23"/>
      <c r="M24" s="23"/>
      <c r="N24" s="23"/>
      <c r="O24" s="23"/>
      <c r="P24" s="23"/>
      <c r="Q24" s="23"/>
    </row>
    <row r="25" spans="1:17" x14ac:dyDescent="0.2">
      <c r="A25" s="57" t="s">
        <v>24</v>
      </c>
      <c r="B25" s="64" t="s">
        <v>32</v>
      </c>
      <c r="C25" s="68">
        <v>1.4118747078073866</v>
      </c>
      <c r="D25" s="20">
        <f t="shared" si="0"/>
        <v>0.8427152317880795</v>
      </c>
      <c r="E25" s="20">
        <f t="shared" si="2"/>
        <v>46.349337748344375</v>
      </c>
      <c r="F25" s="20">
        <f t="shared" si="3"/>
        <v>8.6506622516556249</v>
      </c>
      <c r="G25" s="20">
        <f t="shared" si="4"/>
        <v>1.1898083216456288</v>
      </c>
      <c r="H25" s="20">
        <f t="shared" si="1"/>
        <v>29.745208041140721</v>
      </c>
      <c r="J25" s="23"/>
      <c r="K25" s="22"/>
      <c r="L25" s="23">
        <f>SUM(L13:L23)</f>
        <v>3450</v>
      </c>
      <c r="M25" s="23"/>
      <c r="N25" s="23"/>
      <c r="O25" s="23"/>
      <c r="P25" s="23"/>
      <c r="Q25" s="23"/>
    </row>
    <row r="26" spans="1:17" x14ac:dyDescent="0.2">
      <c r="A26" s="57" t="s">
        <v>25</v>
      </c>
      <c r="B26" s="63" t="s">
        <v>33</v>
      </c>
      <c r="C26" s="68">
        <v>1.4703132304815334</v>
      </c>
      <c r="D26" s="20">
        <f t="shared" si="0"/>
        <v>0.80922098569157397</v>
      </c>
      <c r="E26" s="20">
        <f t="shared" si="2"/>
        <v>44.507154213036571</v>
      </c>
      <c r="F26" s="20">
        <f t="shared" si="3"/>
        <v>10.492845786963429</v>
      </c>
      <c r="G26" s="20">
        <f t="shared" si="4"/>
        <v>1.189808321645629</v>
      </c>
      <c r="H26" s="20">
        <f t="shared" si="1"/>
        <v>29.745208041140724</v>
      </c>
      <c r="J26" s="23"/>
      <c r="K26" s="23"/>
      <c r="L26" s="22"/>
      <c r="M26" s="22"/>
      <c r="N26" s="22"/>
      <c r="O26" s="22"/>
      <c r="P26" s="23"/>
      <c r="Q26" s="23"/>
    </row>
    <row r="27" spans="1:17" x14ac:dyDescent="0.2">
      <c r="A27" s="57" t="s">
        <v>26</v>
      </c>
      <c r="B27" s="63" t="s">
        <v>34</v>
      </c>
      <c r="C27" s="68">
        <v>1.4118747078073866</v>
      </c>
      <c r="D27" s="20">
        <f t="shared" si="0"/>
        <v>0.8427152317880795</v>
      </c>
      <c r="E27" s="20">
        <f t="shared" si="2"/>
        <v>46.349337748344375</v>
      </c>
      <c r="F27" s="20">
        <f t="shared" si="3"/>
        <v>8.6506622516556249</v>
      </c>
      <c r="G27" s="20">
        <f t="shared" si="4"/>
        <v>1.1898083216456288</v>
      </c>
      <c r="H27" s="20">
        <f t="shared" si="1"/>
        <v>29.745208041140721</v>
      </c>
      <c r="J27" s="32" t="s">
        <v>83</v>
      </c>
      <c r="K27" s="22" t="s">
        <v>84</v>
      </c>
      <c r="L27" s="23"/>
      <c r="M27" s="23"/>
      <c r="N27" s="23"/>
      <c r="O27" s="23"/>
      <c r="P27" s="23"/>
      <c r="Q27" s="23"/>
    </row>
    <row r="28" spans="1:17" x14ac:dyDescent="0.2">
      <c r="A28" s="57" t="s">
        <v>27</v>
      </c>
      <c r="B28" s="63" t="s">
        <v>35</v>
      </c>
      <c r="C28" s="68">
        <v>1.6105656848994856</v>
      </c>
      <c r="D28" s="20">
        <f>$C$16/C28</f>
        <v>0.73875181422351244</v>
      </c>
      <c r="E28" s="20">
        <f t="shared" si="2"/>
        <v>40.631349782293185</v>
      </c>
      <c r="F28" s="20">
        <f t="shared" si="3"/>
        <v>14.368650217706815</v>
      </c>
      <c r="G28" s="20">
        <f t="shared" si="4"/>
        <v>1.1898083216456288</v>
      </c>
      <c r="H28" s="20">
        <f t="shared" si="1"/>
        <v>29.745208041140721</v>
      </c>
      <c r="J28" s="49" t="s">
        <v>85</v>
      </c>
      <c r="K28" s="22" t="s">
        <v>84</v>
      </c>
      <c r="L28" s="23"/>
      <c r="M28" s="23"/>
      <c r="N28" s="23"/>
      <c r="O28" s="23"/>
      <c r="P28" s="23"/>
      <c r="Q28" s="23"/>
    </row>
    <row r="29" spans="1:17" x14ac:dyDescent="0.2">
      <c r="A29" s="57" t="s">
        <v>99</v>
      </c>
      <c r="B29" s="63" t="s">
        <v>36</v>
      </c>
      <c r="C29" s="68">
        <v>1.774193548387097</v>
      </c>
      <c r="D29" s="20">
        <f>$C$16/C29</f>
        <v>0.67061923583662708</v>
      </c>
      <c r="E29" s="20">
        <f t="shared" si="2"/>
        <v>36.884057971014492</v>
      </c>
      <c r="F29" s="20">
        <f t="shared" si="3"/>
        <v>18.115942028985508</v>
      </c>
      <c r="G29" s="20">
        <f t="shared" si="4"/>
        <v>1.1898083216456288</v>
      </c>
      <c r="H29" s="20">
        <f t="shared" si="1"/>
        <v>29.745208041140721</v>
      </c>
      <c r="J29" s="23"/>
      <c r="K29" s="22"/>
      <c r="L29" s="23"/>
      <c r="M29" s="23"/>
      <c r="N29" s="23"/>
      <c r="O29" s="23"/>
      <c r="P29" s="23"/>
      <c r="Q29" s="23"/>
    </row>
    <row r="30" spans="1:17" x14ac:dyDescent="0.2">
      <c r="A30" s="57" t="s">
        <v>100</v>
      </c>
      <c r="B30" s="63" t="s">
        <v>37</v>
      </c>
      <c r="C30" s="68">
        <v>1.7157550257129501</v>
      </c>
      <c r="D30" s="20">
        <f t="shared" si="0"/>
        <v>0.69346049046321523</v>
      </c>
      <c r="E30" s="20">
        <f>55*D30</f>
        <v>38.140326975476839</v>
      </c>
      <c r="F30" s="20">
        <f t="shared" si="3"/>
        <v>16.859673024523161</v>
      </c>
      <c r="G30" s="20">
        <f t="shared" si="4"/>
        <v>1.1898083216456288</v>
      </c>
      <c r="H30" s="20">
        <f t="shared" si="1"/>
        <v>29.745208041140721</v>
      </c>
      <c r="J30" s="23"/>
      <c r="K30" s="22"/>
      <c r="L30" s="23"/>
      <c r="M30" s="23"/>
      <c r="N30" s="23"/>
      <c r="O30" s="23"/>
      <c r="P30" s="23"/>
      <c r="Q30" s="23"/>
    </row>
    <row r="31" spans="1:17" x14ac:dyDescent="0.2">
      <c r="A31" s="57" t="s">
        <v>101</v>
      </c>
      <c r="B31" s="63" t="s">
        <v>38</v>
      </c>
      <c r="C31" s="68">
        <v>2.1715755025712951</v>
      </c>
      <c r="D31" s="20">
        <f t="shared" si="0"/>
        <v>0.54790096878363825</v>
      </c>
      <c r="E31" s="20">
        <f t="shared" si="2"/>
        <v>30.134553283100104</v>
      </c>
      <c r="F31" s="20">
        <f t="shared" si="3"/>
        <v>24.865446716899896</v>
      </c>
      <c r="G31" s="20">
        <f t="shared" si="4"/>
        <v>1.1898083216456288</v>
      </c>
      <c r="H31" s="20">
        <f t="shared" si="1"/>
        <v>29.745208041140721</v>
      </c>
      <c r="J31" s="23"/>
      <c r="K31" s="23"/>
      <c r="L31" s="23"/>
      <c r="M31" s="23"/>
      <c r="N31" s="23"/>
      <c r="O31" s="23"/>
      <c r="P31" s="23"/>
      <c r="Q31" s="23"/>
    </row>
    <row r="32" spans="1:17" x14ac:dyDescent="0.2">
      <c r="A32" s="57" t="s">
        <v>102</v>
      </c>
      <c r="B32" s="63" t="s">
        <v>39</v>
      </c>
      <c r="C32" s="68">
        <v>1.458625525946704</v>
      </c>
      <c r="D32" s="20">
        <f t="shared" si="0"/>
        <v>0.81570512820512819</v>
      </c>
      <c r="E32" s="20">
        <f t="shared" si="2"/>
        <v>44.863782051282051</v>
      </c>
      <c r="F32" s="20">
        <f t="shared" si="3"/>
        <v>10.136217948717949</v>
      </c>
      <c r="G32" s="20">
        <f t="shared" si="4"/>
        <v>1.1898083216456288</v>
      </c>
      <c r="H32" s="20">
        <f t="shared" si="1"/>
        <v>29.745208041140721</v>
      </c>
      <c r="J32" s="23"/>
      <c r="K32" s="22"/>
      <c r="L32" s="23"/>
      <c r="M32" s="23"/>
      <c r="N32" s="23"/>
      <c r="O32" s="23"/>
      <c r="P32" s="23"/>
      <c r="Q32" s="23"/>
    </row>
    <row r="33" spans="1:17" x14ac:dyDescent="0.2">
      <c r="A33" s="57" t="s">
        <v>103</v>
      </c>
      <c r="B33" s="63" t="s">
        <v>40</v>
      </c>
      <c r="C33" s="68">
        <v>1.4469378214118747</v>
      </c>
      <c r="D33" s="20">
        <f t="shared" si="0"/>
        <v>0.82229402261712436</v>
      </c>
      <c r="E33" s="20">
        <f t="shared" si="2"/>
        <v>45.226171243941842</v>
      </c>
      <c r="F33" s="20">
        <f t="shared" si="3"/>
        <v>9.7738287560581583</v>
      </c>
      <c r="G33" s="20">
        <f t="shared" si="4"/>
        <v>1.1898083216456288</v>
      </c>
      <c r="H33" s="20">
        <f t="shared" si="1"/>
        <v>29.745208041140721</v>
      </c>
      <c r="J33" s="23"/>
      <c r="K33" s="22"/>
      <c r="L33" s="23"/>
      <c r="M33" s="23"/>
      <c r="N33" s="23"/>
      <c r="O33" s="23"/>
      <c r="P33" s="23"/>
      <c r="Q33" s="23"/>
    </row>
    <row r="34" spans="1:17" x14ac:dyDescent="0.2">
      <c r="A34" s="57" t="s">
        <v>110</v>
      </c>
      <c r="B34" s="64" t="s">
        <v>41</v>
      </c>
      <c r="C34" s="68">
        <v>1.7157550257129501</v>
      </c>
      <c r="D34" s="20">
        <f t="shared" si="0"/>
        <v>0.69346049046321523</v>
      </c>
      <c r="E34" s="20">
        <f t="shared" si="2"/>
        <v>38.140326975476839</v>
      </c>
      <c r="F34" s="20">
        <f t="shared" si="3"/>
        <v>16.859673024523161</v>
      </c>
      <c r="G34" s="20">
        <f t="shared" si="4"/>
        <v>1.1898083216456288</v>
      </c>
      <c r="H34" s="20">
        <f t="shared" si="1"/>
        <v>29.745208041140721</v>
      </c>
      <c r="J34" s="23"/>
      <c r="K34" s="22"/>
      <c r="L34" s="23"/>
      <c r="M34" s="23"/>
      <c r="N34" s="23"/>
      <c r="O34" s="23"/>
      <c r="P34" s="23"/>
      <c r="Q34" s="23"/>
    </row>
    <row r="35" spans="1:17" x14ac:dyDescent="0.2">
      <c r="A35" s="57" t="s">
        <v>111</v>
      </c>
      <c r="B35" s="63" t="s">
        <v>67</v>
      </c>
      <c r="C35" s="68">
        <v>1.3651238896680691</v>
      </c>
      <c r="D35" s="20">
        <f t="shared" si="0"/>
        <v>0.87157534246575352</v>
      </c>
      <c r="E35" s="20">
        <f t="shared" si="2"/>
        <v>47.936643835616444</v>
      </c>
      <c r="F35" s="20">
        <f>55-E35</f>
        <v>7.0633561643835563</v>
      </c>
      <c r="G35" s="20">
        <f t="shared" si="4"/>
        <v>1.1898083216456288</v>
      </c>
      <c r="H35" s="20">
        <f t="shared" si="1"/>
        <v>29.745208041140721</v>
      </c>
      <c r="J35" s="23"/>
      <c r="K35" s="22"/>
      <c r="L35" s="23"/>
      <c r="M35" s="23"/>
      <c r="N35" s="23"/>
      <c r="O35" s="23"/>
      <c r="P35" s="23"/>
      <c r="Q35" s="23"/>
    </row>
    <row r="36" spans="1:17" x14ac:dyDescent="0.2">
      <c r="A36" s="57" t="s">
        <v>112</v>
      </c>
      <c r="B36" s="63" t="s">
        <v>68</v>
      </c>
      <c r="C36" s="68">
        <v>1.2014960261804581</v>
      </c>
      <c r="D36" s="20">
        <f t="shared" si="0"/>
        <v>0.99027237354085607</v>
      </c>
      <c r="E36" s="20">
        <f t="shared" si="2"/>
        <v>54.464980544747085</v>
      </c>
      <c r="F36" s="20">
        <f t="shared" si="3"/>
        <v>0.53501945525291461</v>
      </c>
      <c r="G36" s="20">
        <f t="shared" si="4"/>
        <v>1.1898083216456288</v>
      </c>
      <c r="H36" s="20">
        <f t="shared" si="1"/>
        <v>29.745208041140721</v>
      </c>
      <c r="J36" s="23"/>
      <c r="K36" s="23"/>
      <c r="L36" s="23"/>
      <c r="M36" s="23"/>
      <c r="N36" s="23"/>
      <c r="O36" s="23"/>
      <c r="P36" s="24"/>
      <c r="Q36" s="23"/>
    </row>
    <row r="37" spans="1:17" x14ac:dyDescent="0.2">
      <c r="A37" s="57" t="s">
        <v>87</v>
      </c>
      <c r="B37" s="63" t="s">
        <v>69</v>
      </c>
      <c r="C37" s="68">
        <v>1.4936886395511919</v>
      </c>
      <c r="D37" s="20">
        <f t="shared" si="0"/>
        <v>0.79655712050078253</v>
      </c>
      <c r="E37" s="20">
        <f t="shared" si="2"/>
        <v>43.810641627543042</v>
      </c>
      <c r="F37" s="20">
        <f t="shared" si="3"/>
        <v>11.189358372456958</v>
      </c>
      <c r="G37" s="20">
        <f t="shared" si="4"/>
        <v>1.1898083216456288</v>
      </c>
      <c r="H37" s="20">
        <f t="shared" si="1"/>
        <v>29.745208041140721</v>
      </c>
      <c r="J37" s="23"/>
      <c r="K37" s="22"/>
      <c r="L37" s="23"/>
      <c r="M37" s="23"/>
      <c r="N37" s="23"/>
      <c r="O37" s="23"/>
      <c r="P37" s="23"/>
      <c r="Q37" s="23"/>
    </row>
    <row r="38" spans="1:17" x14ac:dyDescent="0.2">
      <c r="A38" s="57" t="s">
        <v>88</v>
      </c>
      <c r="B38" s="63" t="s">
        <v>70</v>
      </c>
      <c r="C38" s="68">
        <v>1.7157550257129501</v>
      </c>
      <c r="D38" s="20">
        <f t="shared" si="0"/>
        <v>0.69346049046321523</v>
      </c>
      <c r="E38" s="20">
        <f t="shared" si="2"/>
        <v>38.140326975476839</v>
      </c>
      <c r="F38" s="20">
        <f t="shared" si="3"/>
        <v>16.859673024523161</v>
      </c>
      <c r="G38" s="20">
        <f t="shared" si="4"/>
        <v>1.1898083216456288</v>
      </c>
      <c r="H38" s="20">
        <f t="shared" si="1"/>
        <v>29.745208041140721</v>
      </c>
      <c r="J38" s="23"/>
      <c r="K38" s="22"/>
      <c r="L38" s="23"/>
      <c r="M38" s="23"/>
      <c r="N38" s="23"/>
      <c r="O38" s="23"/>
      <c r="P38" s="23"/>
      <c r="Q38" s="23"/>
    </row>
    <row r="39" spans="1:17" x14ac:dyDescent="0.2">
      <c r="A39" s="57" t="s">
        <v>89</v>
      </c>
      <c r="B39" s="63" t="s">
        <v>71</v>
      </c>
      <c r="C39" s="68">
        <v>1.5170640486208509</v>
      </c>
      <c r="D39" s="20">
        <f t="shared" si="0"/>
        <v>0.78428351309707245</v>
      </c>
      <c r="E39" s="20">
        <f t="shared" si="2"/>
        <v>43.135593220338983</v>
      </c>
      <c r="F39" s="20">
        <f t="shared" si="3"/>
        <v>11.864406779661017</v>
      </c>
      <c r="G39" s="20">
        <f t="shared" si="4"/>
        <v>1.1898083216456288</v>
      </c>
      <c r="H39" s="20">
        <f t="shared" si="1"/>
        <v>29.745208041140721</v>
      </c>
      <c r="J39" s="23"/>
      <c r="K39" s="22"/>
      <c r="L39" s="23"/>
      <c r="M39" s="23"/>
      <c r="N39" s="23"/>
      <c r="O39" s="23"/>
      <c r="P39" s="23"/>
      <c r="Q39" s="23"/>
    </row>
    <row r="40" spans="1:17" x14ac:dyDescent="0.2">
      <c r="A40" s="57" t="s">
        <v>90</v>
      </c>
      <c r="B40" s="63" t="s">
        <v>72</v>
      </c>
      <c r="C40" s="68">
        <v>1.7274427302477793</v>
      </c>
      <c r="D40" s="20">
        <f t="shared" si="0"/>
        <v>0.68876860622462788</v>
      </c>
      <c r="E40" s="20">
        <f t="shared" si="2"/>
        <v>37.88227334235453</v>
      </c>
      <c r="F40" s="20">
        <f t="shared" si="3"/>
        <v>17.11772665764547</v>
      </c>
      <c r="G40" s="20">
        <f t="shared" si="4"/>
        <v>1.1898083216456286</v>
      </c>
      <c r="H40" s="20">
        <f t="shared" si="1"/>
        <v>29.745208041140714</v>
      </c>
      <c r="J40" s="23"/>
      <c r="K40" s="22"/>
      <c r="L40" s="23"/>
      <c r="M40" s="23"/>
      <c r="N40" s="23"/>
      <c r="O40" s="23"/>
      <c r="P40" s="23"/>
      <c r="Q40" s="23"/>
    </row>
    <row r="41" spans="1:17" x14ac:dyDescent="0.2">
      <c r="A41" s="57" t="s">
        <v>91</v>
      </c>
      <c r="B41" s="64" t="s">
        <v>73</v>
      </c>
      <c r="C41" s="68">
        <v>1.3884992987377278</v>
      </c>
      <c r="D41" s="20">
        <f t="shared" si="0"/>
        <v>0.85690235690235694</v>
      </c>
      <c r="E41" s="20">
        <f t="shared" si="2"/>
        <v>47.129629629629633</v>
      </c>
      <c r="F41" s="20">
        <f t="shared" si="3"/>
        <v>7.8703703703703667</v>
      </c>
      <c r="G41" s="20">
        <f t="shared" si="4"/>
        <v>1.1898083216456288</v>
      </c>
      <c r="H41" s="20">
        <f t="shared" si="1"/>
        <v>29.745208041140721</v>
      </c>
      <c r="J41" s="23"/>
      <c r="K41" s="23"/>
      <c r="L41" s="23"/>
      <c r="M41" s="23"/>
      <c r="N41" s="23"/>
      <c r="O41" s="23"/>
      <c r="P41" s="23"/>
      <c r="Q41" s="23"/>
    </row>
    <row r="42" spans="1:17" x14ac:dyDescent="0.2">
      <c r="A42" s="48"/>
      <c r="B42" s="22"/>
      <c r="C42" s="54"/>
      <c r="D42" s="55"/>
      <c r="E42" s="55"/>
      <c r="F42" s="55"/>
      <c r="G42" s="55"/>
      <c r="H42" s="55"/>
      <c r="J42" s="23"/>
      <c r="K42" s="23"/>
      <c r="L42" s="23"/>
      <c r="M42" s="23"/>
      <c r="N42" s="23"/>
      <c r="O42" s="23"/>
      <c r="P42" s="23"/>
      <c r="Q42" s="23"/>
    </row>
    <row r="43" spans="1:17" x14ac:dyDescent="0.2">
      <c r="A43" s="48"/>
      <c r="B43" s="22"/>
      <c r="C43" s="54"/>
      <c r="D43" s="55"/>
      <c r="E43" s="55"/>
      <c r="F43" s="55"/>
      <c r="G43" s="55"/>
      <c r="H43" s="55"/>
      <c r="J43" s="23"/>
      <c r="K43" s="23"/>
      <c r="L43" s="23"/>
      <c r="M43" s="23"/>
      <c r="N43" s="23"/>
      <c r="O43" s="23"/>
      <c r="P43" s="23"/>
      <c r="Q43" s="23"/>
    </row>
    <row r="44" spans="1:17" x14ac:dyDescent="0.2">
      <c r="A44" s="48"/>
      <c r="B44" s="22"/>
      <c r="C44" s="54"/>
      <c r="D44" s="55"/>
      <c r="E44" s="55"/>
      <c r="F44" s="55"/>
      <c r="G44" s="55"/>
      <c r="H44" s="55"/>
      <c r="J44" s="23"/>
      <c r="K44" s="23"/>
      <c r="L44" s="23"/>
      <c r="M44" s="23"/>
      <c r="N44" s="23"/>
      <c r="O44" s="23"/>
      <c r="P44" s="23"/>
      <c r="Q44" s="23"/>
    </row>
    <row r="45" spans="1:17" x14ac:dyDescent="0.2">
      <c r="B45" s="22"/>
      <c r="C45" s="54"/>
      <c r="D45" s="55"/>
      <c r="E45" s="55"/>
      <c r="F45" s="55"/>
      <c r="G45" s="55"/>
      <c r="H45" s="55"/>
      <c r="J45" s="23"/>
      <c r="K45" s="23"/>
      <c r="L45" s="23"/>
      <c r="M45" s="23"/>
      <c r="N45" s="23"/>
      <c r="O45" s="23"/>
      <c r="P45" s="23"/>
      <c r="Q45" s="23"/>
    </row>
    <row r="46" spans="1:17" x14ac:dyDescent="0.2">
      <c r="B46" s="22"/>
      <c r="C46" s="54"/>
      <c r="D46" s="55"/>
      <c r="E46" s="55"/>
      <c r="F46" s="55"/>
      <c r="G46" s="55"/>
      <c r="H46" s="55"/>
      <c r="J46" s="23"/>
      <c r="K46" s="23"/>
      <c r="L46" s="23"/>
      <c r="M46" s="23"/>
      <c r="N46" s="23"/>
      <c r="O46" s="23"/>
      <c r="P46" s="23"/>
      <c r="Q46" s="23"/>
    </row>
    <row r="47" spans="1:17" x14ac:dyDescent="0.2">
      <c r="B47" s="22"/>
      <c r="C47" s="54"/>
      <c r="D47" s="55"/>
      <c r="E47" s="55"/>
      <c r="F47" s="55"/>
      <c r="G47" s="55"/>
      <c r="H47" s="55"/>
    </row>
    <row r="48" spans="1:17" x14ac:dyDescent="0.2">
      <c r="B48" s="22"/>
      <c r="C48" s="54"/>
      <c r="D48" s="55"/>
      <c r="E48" s="55"/>
      <c r="F48" s="55"/>
      <c r="G48" s="55"/>
      <c r="H48" s="55"/>
    </row>
    <row r="49" spans="2:8" x14ac:dyDescent="0.2">
      <c r="B49" s="22"/>
      <c r="C49" s="54"/>
      <c r="D49" s="55"/>
      <c r="E49" s="55"/>
      <c r="F49" s="55"/>
      <c r="G49" s="55"/>
      <c r="H49" s="55"/>
    </row>
  </sheetData>
  <mergeCells count="2">
    <mergeCell ref="C10:D10"/>
    <mergeCell ref="E10:F10"/>
  </mergeCells>
  <pageMargins left="0.7" right="0.7" top="0.75" bottom="0.75" header="0.3" footer="0.3"/>
  <pageSetup paperSize="9" scale="6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85"/>
  <sheetViews>
    <sheetView tabSelected="1" topLeftCell="K45" zoomScale="156" workbookViewId="0">
      <selection activeCell="W54" sqref="W54"/>
    </sheetView>
  </sheetViews>
  <sheetFormatPr baseColWidth="10" defaultColWidth="8.83203125" defaultRowHeight="15" x14ac:dyDescent="0.2"/>
  <cols>
    <col min="1" max="1" width="10.5" customWidth="1"/>
    <col min="2" max="2" width="10.1640625" customWidth="1"/>
    <col min="3" max="5" width="9.1640625" customWidth="1"/>
    <col min="6" max="6" width="10.5" customWidth="1"/>
    <col min="7" max="7" width="9.33203125" customWidth="1"/>
    <col min="8" max="8" width="9.1640625" customWidth="1"/>
    <col min="9" max="9" width="10.5" style="102" customWidth="1"/>
    <col min="10" max="11" width="9.1640625" customWidth="1"/>
    <col min="13" max="13" width="28.1640625" customWidth="1"/>
    <col min="14" max="14" width="16" customWidth="1"/>
    <col min="16" max="16" width="8.83203125" customWidth="1"/>
    <col min="17" max="17" width="13.1640625" customWidth="1"/>
    <col min="18" max="18" width="15" customWidth="1"/>
  </cols>
  <sheetData>
    <row r="1" spans="1:15" x14ac:dyDescent="0.2">
      <c r="A1" s="8" t="s">
        <v>42</v>
      </c>
      <c r="B1" s="1">
        <v>1</v>
      </c>
      <c r="C1" s="1">
        <v>2</v>
      </c>
      <c r="D1" s="1">
        <v>3</v>
      </c>
      <c r="E1" s="1">
        <v>4</v>
      </c>
      <c r="F1" s="1">
        <v>5</v>
      </c>
      <c r="G1" s="28">
        <v>6</v>
      </c>
      <c r="H1" s="22">
        <v>7</v>
      </c>
      <c r="I1" s="47">
        <v>8</v>
      </c>
      <c r="J1" s="22">
        <v>9</v>
      </c>
      <c r="K1" s="22">
        <v>10</v>
      </c>
      <c r="L1" s="22"/>
      <c r="M1" s="22"/>
    </row>
    <row r="2" spans="1:15" x14ac:dyDescent="0.2">
      <c r="A2" s="1" t="s">
        <v>1</v>
      </c>
      <c r="B2" s="70" t="s">
        <v>43</v>
      </c>
      <c r="C2" s="70" t="s">
        <v>43</v>
      </c>
      <c r="D2" s="2" t="s">
        <v>43</v>
      </c>
      <c r="E2" s="2" t="s">
        <v>43</v>
      </c>
      <c r="F2" s="6" t="s">
        <v>20</v>
      </c>
      <c r="G2" s="6" t="s">
        <v>20</v>
      </c>
      <c r="H2" s="29" t="s">
        <v>28</v>
      </c>
      <c r="I2" s="101" t="s">
        <v>28</v>
      </c>
      <c r="J2" s="100" t="s">
        <v>36</v>
      </c>
      <c r="K2" s="29" t="s">
        <v>36</v>
      </c>
      <c r="L2" s="29" t="s">
        <v>69</v>
      </c>
      <c r="M2" s="29" t="s">
        <v>69</v>
      </c>
      <c r="O2" s="23">
        <f>714.54+567.5</f>
        <v>1282.04</v>
      </c>
    </row>
    <row r="3" spans="1:15" x14ac:dyDescent="0.2">
      <c r="A3" s="1" t="s">
        <v>2</v>
      </c>
      <c r="B3" s="70" t="s">
        <v>44</v>
      </c>
      <c r="C3" s="70" t="s">
        <v>44</v>
      </c>
      <c r="D3" s="2" t="s">
        <v>44</v>
      </c>
      <c r="E3" s="2" t="s">
        <v>44</v>
      </c>
      <c r="F3" s="6" t="s">
        <v>21</v>
      </c>
      <c r="G3" s="6" t="s">
        <v>21</v>
      </c>
      <c r="H3" s="29" t="s">
        <v>29</v>
      </c>
      <c r="I3" s="101" t="s">
        <v>29</v>
      </c>
      <c r="J3" s="100" t="s">
        <v>37</v>
      </c>
      <c r="K3" s="29" t="s">
        <v>37</v>
      </c>
      <c r="L3" s="29" t="s">
        <v>70</v>
      </c>
      <c r="M3" s="29" t="s">
        <v>70</v>
      </c>
      <c r="O3" s="23">
        <f>1716.886+567.5</f>
        <v>2284.386</v>
      </c>
    </row>
    <row r="4" spans="1:15" x14ac:dyDescent="0.2">
      <c r="A4" s="1" t="s">
        <v>3</v>
      </c>
      <c r="B4" s="70" t="s">
        <v>45</v>
      </c>
      <c r="C4" s="70" t="s">
        <v>45</v>
      </c>
      <c r="D4" s="2" t="s">
        <v>45</v>
      </c>
      <c r="E4" s="2" t="s">
        <v>45</v>
      </c>
      <c r="F4" s="6" t="s">
        <v>22</v>
      </c>
      <c r="G4" s="6" t="s">
        <v>22</v>
      </c>
      <c r="H4" s="29" t="s">
        <v>30</v>
      </c>
      <c r="I4" s="101" t="s">
        <v>30</v>
      </c>
      <c r="J4" s="100" t="s">
        <v>38</v>
      </c>
      <c r="K4" s="29" t="s">
        <v>38</v>
      </c>
      <c r="L4" s="29" t="s">
        <v>71</v>
      </c>
      <c r="M4" s="29" t="s">
        <v>71</v>
      </c>
      <c r="O4" s="23">
        <f>1864.995+567.5</f>
        <v>2432.4949999999999</v>
      </c>
    </row>
    <row r="5" spans="1:15" x14ac:dyDescent="0.2">
      <c r="A5" s="1" t="s">
        <v>4</v>
      </c>
      <c r="B5" s="70" t="s">
        <v>46</v>
      </c>
      <c r="C5" s="70" t="s">
        <v>46</v>
      </c>
      <c r="D5" s="2" t="s">
        <v>46</v>
      </c>
      <c r="E5" s="2" t="s">
        <v>46</v>
      </c>
      <c r="F5" s="6" t="s">
        <v>23</v>
      </c>
      <c r="G5" s="6" t="s">
        <v>23</v>
      </c>
      <c r="H5" s="29" t="s">
        <v>31</v>
      </c>
      <c r="I5" s="101" t="s">
        <v>31</v>
      </c>
      <c r="J5" s="100" t="s">
        <v>39</v>
      </c>
      <c r="K5" s="29" t="s">
        <v>39</v>
      </c>
      <c r="L5" s="29" t="s">
        <v>72</v>
      </c>
      <c r="M5" s="29" t="s">
        <v>72</v>
      </c>
      <c r="O5" s="23">
        <f>1809.804+567.5</f>
        <v>2377.3040000000001</v>
      </c>
    </row>
    <row r="6" spans="1:15" x14ac:dyDescent="0.2">
      <c r="A6" s="1" t="s">
        <v>5</v>
      </c>
      <c r="B6" s="70" t="s">
        <v>47</v>
      </c>
      <c r="C6" s="70" t="s">
        <v>47</v>
      </c>
      <c r="D6" s="2" t="s">
        <v>47</v>
      </c>
      <c r="E6" s="2" t="s">
        <v>47</v>
      </c>
      <c r="F6" s="6" t="s">
        <v>24</v>
      </c>
      <c r="G6" s="6" t="s">
        <v>24</v>
      </c>
      <c r="H6" s="29" t="s">
        <v>32</v>
      </c>
      <c r="I6" s="101" t="s">
        <v>32</v>
      </c>
      <c r="J6" s="100" t="s">
        <v>40</v>
      </c>
      <c r="K6" s="29" t="s">
        <v>40</v>
      </c>
      <c r="L6" s="29" t="s">
        <v>73</v>
      </c>
      <c r="M6" s="29" t="s">
        <v>73</v>
      </c>
      <c r="O6">
        <f>1768.43+567.5</f>
        <v>2335.9300000000003</v>
      </c>
    </row>
    <row r="7" spans="1:15" x14ac:dyDescent="0.2">
      <c r="A7" s="1" t="s">
        <v>6</v>
      </c>
      <c r="B7" s="70" t="s">
        <v>48</v>
      </c>
      <c r="C7" s="70" t="s">
        <v>48</v>
      </c>
      <c r="D7" s="2" t="s">
        <v>48</v>
      </c>
      <c r="E7" s="2" t="s">
        <v>48</v>
      </c>
      <c r="F7" s="6" t="s">
        <v>25</v>
      </c>
      <c r="G7" s="6" t="s">
        <v>25</v>
      </c>
      <c r="H7" s="29" t="s">
        <v>33</v>
      </c>
      <c r="I7" s="101" t="s">
        <v>33</v>
      </c>
      <c r="J7" s="100" t="s">
        <v>41</v>
      </c>
      <c r="K7" s="29" t="s">
        <v>41</v>
      </c>
      <c r="L7" s="56"/>
      <c r="M7" s="56"/>
      <c r="O7">
        <f>1853.954+567.5</f>
        <v>2421.4539999999997</v>
      </c>
    </row>
    <row r="8" spans="1:15" x14ac:dyDescent="0.2">
      <c r="A8" s="1" t="s">
        <v>7</v>
      </c>
      <c r="B8" s="70" t="s">
        <v>49</v>
      </c>
      <c r="C8" s="70" t="s">
        <v>49</v>
      </c>
      <c r="D8" s="2" t="s">
        <v>49</v>
      </c>
      <c r="E8" s="2" t="s">
        <v>49</v>
      </c>
      <c r="F8" s="6" t="s">
        <v>26</v>
      </c>
      <c r="G8" s="6" t="s">
        <v>26</v>
      </c>
      <c r="H8" s="29" t="s">
        <v>34</v>
      </c>
      <c r="I8" s="101" t="s">
        <v>34</v>
      </c>
      <c r="J8" s="100" t="s">
        <v>67</v>
      </c>
      <c r="K8" s="29" t="s">
        <v>67</v>
      </c>
      <c r="L8" s="56"/>
      <c r="M8" s="56"/>
      <c r="O8">
        <f>1812.562+567.5</f>
        <v>2380.0619999999999</v>
      </c>
    </row>
    <row r="9" spans="1:15" x14ac:dyDescent="0.2">
      <c r="A9" s="1" t="s">
        <v>14</v>
      </c>
      <c r="B9" s="70" t="s">
        <v>50</v>
      </c>
      <c r="C9" s="70" t="s">
        <v>50</v>
      </c>
      <c r="D9" s="2" t="s">
        <v>50</v>
      </c>
      <c r="E9" s="2" t="s">
        <v>50</v>
      </c>
      <c r="F9" s="6" t="s">
        <v>27</v>
      </c>
      <c r="G9" s="6" t="s">
        <v>27</v>
      </c>
      <c r="H9" s="29" t="s">
        <v>35</v>
      </c>
      <c r="I9" s="101" t="s">
        <v>35</v>
      </c>
      <c r="J9" s="100" t="s">
        <v>68</v>
      </c>
      <c r="K9" s="29" t="s">
        <v>68</v>
      </c>
      <c r="L9" s="56"/>
      <c r="M9" s="56"/>
      <c r="O9">
        <f>642.37+567.5</f>
        <v>1209.8699999999999</v>
      </c>
    </row>
    <row r="10" spans="1:15" x14ac:dyDescent="0.2">
      <c r="B10" s="85" t="s">
        <v>104</v>
      </c>
      <c r="C10" s="86"/>
      <c r="D10" s="87" t="s">
        <v>105</v>
      </c>
      <c r="E10" s="88"/>
      <c r="H10" s="23"/>
      <c r="I10" s="47"/>
    </row>
    <row r="11" spans="1:15" x14ac:dyDescent="0.2">
      <c r="B11" s="80"/>
      <c r="C11" s="80"/>
      <c r="D11" s="81"/>
      <c r="E11" s="81"/>
      <c r="H11" s="23"/>
      <c r="I11" s="47"/>
    </row>
    <row r="12" spans="1:15" x14ac:dyDescent="0.2">
      <c r="A12" s="22"/>
      <c r="B12">
        <v>1</v>
      </c>
      <c r="C12">
        <v>2</v>
      </c>
      <c r="D12">
        <v>3</v>
      </c>
      <c r="E12">
        <v>4</v>
      </c>
      <c r="F12">
        <v>5</v>
      </c>
      <c r="G12">
        <v>6</v>
      </c>
      <c r="H12">
        <v>7</v>
      </c>
      <c r="I12" s="102">
        <v>8</v>
      </c>
      <c r="J12">
        <v>9</v>
      </c>
      <c r="K12">
        <v>10</v>
      </c>
      <c r="L12">
        <v>11</v>
      </c>
      <c r="M12">
        <v>12</v>
      </c>
    </row>
    <row r="13" spans="1:15" x14ac:dyDescent="0.2">
      <c r="A13" t="s">
        <v>1</v>
      </c>
      <c r="B13">
        <v>12068</v>
      </c>
      <c r="C13">
        <v>11089</v>
      </c>
      <c r="D13">
        <v>106154</v>
      </c>
      <c r="E13">
        <v>102265</v>
      </c>
      <c r="F13">
        <v>2754</v>
      </c>
      <c r="G13">
        <v>2758</v>
      </c>
      <c r="H13">
        <v>3379</v>
      </c>
      <c r="I13" s="102">
        <v>3581</v>
      </c>
      <c r="J13">
        <v>1393</v>
      </c>
      <c r="K13">
        <v>1171</v>
      </c>
      <c r="L13">
        <v>647</v>
      </c>
      <c r="M13">
        <v>646</v>
      </c>
    </row>
    <row r="14" spans="1:15" x14ac:dyDescent="0.2">
      <c r="A14" t="s">
        <v>2</v>
      </c>
      <c r="B14">
        <v>8448</v>
      </c>
      <c r="C14">
        <v>8441</v>
      </c>
      <c r="D14">
        <v>30540</v>
      </c>
      <c r="E14">
        <v>31060</v>
      </c>
      <c r="F14">
        <v>2871</v>
      </c>
      <c r="G14">
        <v>2879</v>
      </c>
      <c r="H14">
        <v>3336</v>
      </c>
      <c r="I14" s="102">
        <v>3309</v>
      </c>
      <c r="J14">
        <v>2403</v>
      </c>
      <c r="K14">
        <v>2166</v>
      </c>
      <c r="L14">
        <v>603</v>
      </c>
      <c r="M14">
        <v>602</v>
      </c>
    </row>
    <row r="15" spans="1:15" x14ac:dyDescent="0.2">
      <c r="A15" t="s">
        <v>3</v>
      </c>
      <c r="B15">
        <v>4185</v>
      </c>
      <c r="C15">
        <v>4099</v>
      </c>
      <c r="D15">
        <v>5935</v>
      </c>
      <c r="E15">
        <v>5972</v>
      </c>
      <c r="F15">
        <v>2826</v>
      </c>
      <c r="G15">
        <v>3046</v>
      </c>
      <c r="H15">
        <v>3719</v>
      </c>
      <c r="I15" s="102">
        <v>2921</v>
      </c>
      <c r="J15">
        <v>2539</v>
      </c>
      <c r="K15">
        <v>2326</v>
      </c>
      <c r="L15">
        <v>630</v>
      </c>
      <c r="M15">
        <v>598</v>
      </c>
    </row>
    <row r="16" spans="1:15" x14ac:dyDescent="0.2">
      <c r="A16" t="s">
        <v>4</v>
      </c>
      <c r="B16">
        <v>2228</v>
      </c>
      <c r="C16">
        <v>2171</v>
      </c>
      <c r="D16">
        <v>2637</v>
      </c>
      <c r="E16">
        <v>2677</v>
      </c>
      <c r="F16">
        <v>2514</v>
      </c>
      <c r="G16">
        <v>2904</v>
      </c>
      <c r="H16">
        <v>3036</v>
      </c>
      <c r="I16" s="102">
        <v>3439</v>
      </c>
      <c r="J16">
        <v>2501</v>
      </c>
      <c r="K16">
        <v>2252</v>
      </c>
      <c r="L16">
        <v>573</v>
      </c>
      <c r="M16">
        <v>562</v>
      </c>
    </row>
    <row r="17" spans="1:13" x14ac:dyDescent="0.2">
      <c r="A17" t="s">
        <v>5</v>
      </c>
      <c r="B17">
        <v>482</v>
      </c>
      <c r="C17">
        <v>493</v>
      </c>
      <c r="D17">
        <v>649</v>
      </c>
      <c r="E17">
        <v>627</v>
      </c>
      <c r="F17">
        <v>2497</v>
      </c>
      <c r="G17">
        <v>3087</v>
      </c>
      <c r="H17">
        <v>2984</v>
      </c>
      <c r="I17" s="102">
        <v>3265</v>
      </c>
      <c r="J17">
        <v>2116</v>
      </c>
      <c r="K17">
        <v>2555</v>
      </c>
      <c r="L17">
        <v>629</v>
      </c>
      <c r="M17">
        <v>598</v>
      </c>
    </row>
    <row r="18" spans="1:13" x14ac:dyDescent="0.2">
      <c r="A18" t="s">
        <v>6</v>
      </c>
      <c r="B18">
        <v>106</v>
      </c>
      <c r="C18">
        <v>110</v>
      </c>
      <c r="D18">
        <v>137</v>
      </c>
      <c r="E18">
        <v>126</v>
      </c>
      <c r="F18">
        <v>2114</v>
      </c>
      <c r="G18">
        <v>2530</v>
      </c>
      <c r="H18">
        <v>2802</v>
      </c>
      <c r="I18" s="102">
        <v>3005</v>
      </c>
      <c r="J18">
        <v>2387</v>
      </c>
      <c r="K18">
        <v>2456</v>
      </c>
      <c r="L18">
        <v>95</v>
      </c>
      <c r="M18">
        <v>87</v>
      </c>
    </row>
    <row r="19" spans="1:13" x14ac:dyDescent="0.2">
      <c r="A19" t="s">
        <v>7</v>
      </c>
      <c r="B19">
        <v>77</v>
      </c>
      <c r="C19">
        <v>77</v>
      </c>
      <c r="D19">
        <v>87</v>
      </c>
      <c r="E19">
        <v>79</v>
      </c>
      <c r="F19">
        <v>2749</v>
      </c>
      <c r="G19">
        <v>2773</v>
      </c>
      <c r="H19">
        <v>2496</v>
      </c>
      <c r="I19" s="102">
        <v>2896</v>
      </c>
      <c r="J19">
        <v>2372</v>
      </c>
      <c r="K19">
        <v>2389</v>
      </c>
      <c r="L19">
        <v>91</v>
      </c>
      <c r="M19">
        <v>89</v>
      </c>
    </row>
    <row r="20" spans="1:13" x14ac:dyDescent="0.2">
      <c r="A20" t="s">
        <v>14</v>
      </c>
      <c r="B20">
        <v>71</v>
      </c>
      <c r="C20">
        <v>70</v>
      </c>
      <c r="D20">
        <v>80</v>
      </c>
      <c r="E20">
        <v>70</v>
      </c>
      <c r="F20">
        <v>2483</v>
      </c>
      <c r="G20">
        <v>2879</v>
      </c>
      <c r="H20">
        <v>2359</v>
      </c>
      <c r="I20" s="102">
        <v>2767</v>
      </c>
      <c r="J20">
        <v>1145</v>
      </c>
      <c r="K20">
        <v>1274</v>
      </c>
      <c r="L20">
        <v>87</v>
      </c>
      <c r="M20">
        <v>86</v>
      </c>
    </row>
    <row r="22" spans="1:13" x14ac:dyDescent="0.2">
      <c r="A22" s="82" t="s">
        <v>106</v>
      </c>
      <c r="B22" s="17" t="s">
        <v>51</v>
      </c>
      <c r="C22" s="17" t="s">
        <v>61</v>
      </c>
      <c r="D22" s="17" t="s">
        <v>62</v>
      </c>
      <c r="F22" s="44" t="s">
        <v>107</v>
      </c>
      <c r="G22" s="17" t="s">
        <v>51</v>
      </c>
      <c r="H22" s="17" t="s">
        <v>61</v>
      </c>
      <c r="I22" s="102" t="s">
        <v>62</v>
      </c>
    </row>
    <row r="23" spans="1:13" x14ac:dyDescent="0.2">
      <c r="A23" s="83">
        <v>500</v>
      </c>
      <c r="B23">
        <f>AVERAGE(B13:C13)</f>
        <v>11578.5</v>
      </c>
      <c r="C23">
        <f>LOG(A23)</f>
        <v>2.6989700043360187</v>
      </c>
      <c r="D23">
        <f>B23-$B$30</f>
        <v>11508</v>
      </c>
      <c r="F23" s="45">
        <v>500</v>
      </c>
      <c r="G23">
        <f>AVERAGE(D13:E13)</f>
        <v>104209.5</v>
      </c>
      <c r="H23">
        <f>LOG(F23)</f>
        <v>2.6989700043360187</v>
      </c>
      <c r="I23" s="102">
        <f>G23-$G$30</f>
        <v>104134.5</v>
      </c>
    </row>
    <row r="24" spans="1:13" x14ac:dyDescent="0.2">
      <c r="A24" s="83">
        <v>100</v>
      </c>
      <c r="B24">
        <f>AVERAGE(B14:C14)</f>
        <v>8444.5</v>
      </c>
      <c r="C24">
        <f t="shared" ref="C24:C28" si="0">LOG(A24)</f>
        <v>2</v>
      </c>
      <c r="D24">
        <f t="shared" ref="D24:D29" si="1">B24-$B$30</f>
        <v>8374</v>
      </c>
      <c r="F24" s="45">
        <v>100</v>
      </c>
      <c r="G24">
        <f t="shared" ref="G24:G27" si="2">AVERAGE(D14:E14)</f>
        <v>30800</v>
      </c>
      <c r="H24">
        <f t="shared" ref="H24:H28" si="3">LOG(F24)</f>
        <v>2</v>
      </c>
      <c r="I24" s="102">
        <f>G24-$G$30</f>
        <v>30725</v>
      </c>
    </row>
    <row r="25" spans="1:13" x14ac:dyDescent="0.2">
      <c r="A25" s="83">
        <v>25</v>
      </c>
      <c r="B25">
        <f>AVERAGE(B15:C15)</f>
        <v>4142</v>
      </c>
      <c r="C25">
        <f t="shared" si="0"/>
        <v>1.3979400086720377</v>
      </c>
      <c r="D25">
        <f t="shared" si="1"/>
        <v>4071.5</v>
      </c>
      <c r="F25" s="45">
        <v>25</v>
      </c>
      <c r="G25">
        <f t="shared" si="2"/>
        <v>5953.5</v>
      </c>
      <c r="H25">
        <f t="shared" si="3"/>
        <v>1.3979400086720377</v>
      </c>
      <c r="I25" s="102">
        <f>G25-$G$30</f>
        <v>5878.5</v>
      </c>
    </row>
    <row r="26" spans="1:13" x14ac:dyDescent="0.2">
      <c r="A26" s="83">
        <v>12.5</v>
      </c>
      <c r="B26">
        <f t="shared" ref="B26" si="4">AVERAGE(B16:C16)</f>
        <v>2199.5</v>
      </c>
      <c r="C26">
        <f t="shared" si="0"/>
        <v>1.0969100130080565</v>
      </c>
      <c r="D26">
        <f>B26-$B$30</f>
        <v>2129</v>
      </c>
      <c r="F26" s="45">
        <v>12.5</v>
      </c>
      <c r="G26">
        <f t="shared" si="2"/>
        <v>2657</v>
      </c>
      <c r="H26">
        <f t="shared" si="3"/>
        <v>1.0969100130080565</v>
      </c>
      <c r="I26" s="102">
        <f>G26-$G$30</f>
        <v>2582</v>
      </c>
    </row>
    <row r="27" spans="1:13" x14ac:dyDescent="0.2">
      <c r="A27" s="83">
        <v>3.125</v>
      </c>
      <c r="B27">
        <f>AVERAGE(B17:C17)</f>
        <v>487.5</v>
      </c>
      <c r="C27">
        <f t="shared" si="0"/>
        <v>0.49485002168009401</v>
      </c>
      <c r="D27">
        <f t="shared" si="1"/>
        <v>417</v>
      </c>
      <c r="F27" s="45">
        <v>3.125</v>
      </c>
      <c r="G27">
        <f t="shared" si="2"/>
        <v>638</v>
      </c>
      <c r="H27">
        <f t="shared" si="3"/>
        <v>0.49485002168009401</v>
      </c>
      <c r="I27" s="102">
        <f>G27-$G$30</f>
        <v>563</v>
      </c>
    </row>
    <row r="28" spans="1:13" x14ac:dyDescent="0.2">
      <c r="A28" s="83">
        <v>0.3125</v>
      </c>
      <c r="B28">
        <f>AVERAGE(B18:C18)</f>
        <v>108</v>
      </c>
      <c r="C28">
        <f t="shared" si="0"/>
        <v>-0.50514997831990593</v>
      </c>
      <c r="D28">
        <f t="shared" si="1"/>
        <v>37.5</v>
      </c>
      <c r="F28" s="45">
        <v>0.3125</v>
      </c>
      <c r="G28">
        <f>AVERAGE(D18:E18)</f>
        <v>131.5</v>
      </c>
      <c r="H28">
        <f t="shared" si="3"/>
        <v>-0.50514997831990593</v>
      </c>
      <c r="I28" s="102">
        <f>G28-$G$30</f>
        <v>56.5</v>
      </c>
    </row>
    <row r="29" spans="1:13" x14ac:dyDescent="0.2">
      <c r="A29" s="83">
        <v>3.125E-2</v>
      </c>
      <c r="B29">
        <f>AVERAGE(B19:C19)</f>
        <v>77</v>
      </c>
      <c r="C29">
        <f>LOG(A29)</f>
        <v>-1.505149978319906</v>
      </c>
      <c r="D29">
        <f t="shared" si="1"/>
        <v>6.5</v>
      </c>
      <c r="F29" s="45">
        <v>3.125E-2</v>
      </c>
      <c r="G29">
        <f>AVERAGE(D19:E19)</f>
        <v>83</v>
      </c>
      <c r="H29">
        <f>LOG(F29)</f>
        <v>-1.505149978319906</v>
      </c>
      <c r="I29" s="102">
        <f>G29-$G$30</f>
        <v>8</v>
      </c>
    </row>
    <row r="30" spans="1:13" x14ac:dyDescent="0.2">
      <c r="A30" s="83">
        <v>0</v>
      </c>
      <c r="B30">
        <f>AVERAGE(B20:C20)</f>
        <v>70.5</v>
      </c>
      <c r="F30" s="45">
        <v>0</v>
      </c>
      <c r="G30">
        <f>AVERAGE(D20:E20)</f>
        <v>75</v>
      </c>
    </row>
    <row r="31" spans="1:13" x14ac:dyDescent="0.2">
      <c r="A31" s="73"/>
      <c r="B31" s="73"/>
      <c r="C31" s="73"/>
      <c r="D31" s="73"/>
      <c r="E31" s="73"/>
      <c r="F31" s="73"/>
    </row>
    <row r="32" spans="1:13" ht="33" thickBot="1" x14ac:dyDescent="0.25">
      <c r="A32" t="s">
        <v>86</v>
      </c>
      <c r="B32" t="s">
        <v>85</v>
      </c>
      <c r="D32" s="34" t="s">
        <v>51</v>
      </c>
      <c r="E32" s="59" t="s">
        <v>108</v>
      </c>
      <c r="F32" s="34" t="s">
        <v>63</v>
      </c>
      <c r="G32" s="34" t="s">
        <v>64</v>
      </c>
      <c r="H32" s="34" t="s">
        <v>65</v>
      </c>
      <c r="I32" s="103" t="s">
        <v>66</v>
      </c>
      <c r="J32" s="17"/>
      <c r="K32" s="26"/>
    </row>
    <row r="33" spans="1:18" x14ac:dyDescent="0.2">
      <c r="A33" s="53">
        <v>1.4820009350163628</v>
      </c>
      <c r="B33" s="57" t="s">
        <v>95</v>
      </c>
      <c r="C33" s="46" t="s">
        <v>20</v>
      </c>
      <c r="D33">
        <f>AVERAGE(F13:G13)</f>
        <v>2756</v>
      </c>
      <c r="E33">
        <f>D33-$D$60</f>
        <v>2188.5</v>
      </c>
      <c r="F33" s="84">
        <f>0.979167*(LOG10(E33)-LOG10(217.18))</f>
        <v>0.98242441655468971</v>
      </c>
      <c r="G33">
        <f>10^F33</f>
        <v>9.6033866907911669</v>
      </c>
      <c r="H33" s="20">
        <v>1.1898083216456288</v>
      </c>
      <c r="I33" s="91">
        <f>G33/H33</f>
        <v>8.0713729397258565</v>
      </c>
      <c r="J33" s="17"/>
      <c r="K33" s="26"/>
    </row>
    <row r="34" spans="1:18" x14ac:dyDescent="0.2">
      <c r="A34" s="53">
        <v>1.4469378214118747</v>
      </c>
      <c r="B34" s="57" t="s">
        <v>96</v>
      </c>
      <c r="C34" s="46" t="s">
        <v>21</v>
      </c>
      <c r="D34">
        <f t="shared" ref="D34:D40" si="5">AVERAGE(F14:G14)</f>
        <v>2875</v>
      </c>
      <c r="E34">
        <f t="shared" ref="E34:E61" si="6">D34-$D$60</f>
        <v>2307.5</v>
      </c>
      <c r="F34" s="84">
        <f t="shared" ref="F34:F56" si="7">0.979167*(LOG10(E34)-LOG10(217.18))</f>
        <v>1.0049405171612922</v>
      </c>
      <c r="G34">
        <f t="shared" ref="G34:G61" si="8">10^F34</f>
        <v>10.114409134781678</v>
      </c>
      <c r="H34" s="20">
        <v>1.1898083216456288</v>
      </c>
      <c r="I34" s="106">
        <f>G34/H34</f>
        <v>8.5008727462860545</v>
      </c>
      <c r="J34" s="17"/>
      <c r="K34" s="26"/>
    </row>
    <row r="35" spans="1:18" x14ac:dyDescent="0.2">
      <c r="A35" s="53">
        <v>1.2949976624590931</v>
      </c>
      <c r="B35" s="57" t="s">
        <v>97</v>
      </c>
      <c r="C35" s="46" t="s">
        <v>22</v>
      </c>
      <c r="D35">
        <f t="shared" si="5"/>
        <v>2936</v>
      </c>
      <c r="E35">
        <f t="shared" si="6"/>
        <v>2368.5</v>
      </c>
      <c r="F35" s="84">
        <f t="shared" si="7"/>
        <v>1.0160361236510858</v>
      </c>
      <c r="G35">
        <f t="shared" si="8"/>
        <v>10.376147187180326</v>
      </c>
      <c r="H35" s="20">
        <v>1.1898083216456288</v>
      </c>
      <c r="I35" s="106">
        <f>G35/H35</f>
        <v>8.7208561231350554</v>
      </c>
      <c r="J35" s="17" t="s">
        <v>119</v>
      </c>
      <c r="K35" s="109"/>
      <c r="L35" s="17"/>
    </row>
    <row r="36" spans="1:18" x14ac:dyDescent="0.2">
      <c r="A36" s="76">
        <v>1.1898083216456288</v>
      </c>
      <c r="B36" s="74" t="s">
        <v>98</v>
      </c>
      <c r="C36" s="46" t="s">
        <v>23</v>
      </c>
      <c r="D36">
        <f t="shared" si="5"/>
        <v>2709</v>
      </c>
      <c r="E36">
        <f>D36-$D$60</f>
        <v>2141.5</v>
      </c>
      <c r="F36" s="84">
        <f t="shared" si="7"/>
        <v>0.97319236769983219</v>
      </c>
      <c r="G36">
        <f t="shared" si="8"/>
        <v>9.4013964662488085</v>
      </c>
      <c r="H36" s="20">
        <v>1.1898083216456288</v>
      </c>
      <c r="I36" s="106">
        <f>G36/H36</f>
        <v>7.9016059101399616</v>
      </c>
      <c r="J36" s="17"/>
      <c r="K36" s="109"/>
      <c r="L36" s="17"/>
    </row>
    <row r="37" spans="1:18" ht="16" thickBot="1" x14ac:dyDescent="0.25">
      <c r="A37" s="53">
        <v>1.5521271622253388</v>
      </c>
      <c r="B37" s="57" t="s">
        <v>113</v>
      </c>
      <c r="C37" s="46" t="s">
        <v>24</v>
      </c>
      <c r="D37">
        <f t="shared" si="5"/>
        <v>2792</v>
      </c>
      <c r="E37">
        <f t="shared" si="6"/>
        <v>2224.5</v>
      </c>
      <c r="F37" s="84">
        <f t="shared" si="7"/>
        <v>0.98936265598626205</v>
      </c>
      <c r="G37">
        <f t="shared" si="8"/>
        <v>9.7580413920144018</v>
      </c>
      <c r="H37" s="20">
        <v>1.1898083216456288</v>
      </c>
      <c r="I37" s="106">
        <f>G37/H37</f>
        <v>8.2013558104199635</v>
      </c>
      <c r="J37" s="17"/>
      <c r="K37" s="26"/>
      <c r="P37" s="17" t="s">
        <v>118</v>
      </c>
      <c r="Q37" s="110" t="s">
        <v>120</v>
      </c>
      <c r="R37" s="17" t="s">
        <v>119</v>
      </c>
    </row>
    <row r="38" spans="1:18" x14ac:dyDescent="0.2">
      <c r="A38" s="53">
        <v>1.3534361851332397</v>
      </c>
      <c r="B38" s="57" t="s">
        <v>114</v>
      </c>
      <c r="C38" s="46" t="s">
        <v>25</v>
      </c>
      <c r="D38">
        <f t="shared" si="5"/>
        <v>2322</v>
      </c>
      <c r="E38">
        <f t="shared" si="6"/>
        <v>1754.5</v>
      </c>
      <c r="F38" s="84">
        <f t="shared" si="7"/>
        <v>0.88843106404254146</v>
      </c>
      <c r="G38">
        <f t="shared" si="8"/>
        <v>7.7344789894341792</v>
      </c>
      <c r="H38" s="99">
        <v>1.105177319174514</v>
      </c>
      <c r="I38" s="106">
        <f>G38/H38</f>
        <v>6.9984054642120821</v>
      </c>
      <c r="J38" s="17"/>
      <c r="P38" s="118">
        <v>8.6</v>
      </c>
      <c r="Q38" s="119">
        <v>2.69</v>
      </c>
      <c r="R38" s="120">
        <v>8.07</v>
      </c>
    </row>
    <row r="39" spans="1:18" x14ac:dyDescent="0.2">
      <c r="A39" s="53">
        <v>1.51706404862085</v>
      </c>
      <c r="B39" s="90" t="s">
        <v>115</v>
      </c>
      <c r="C39" s="46" t="s">
        <v>26</v>
      </c>
      <c r="D39">
        <f t="shared" si="5"/>
        <v>2761</v>
      </c>
      <c r="E39">
        <f t="shared" si="6"/>
        <v>2193.5</v>
      </c>
      <c r="F39" s="84">
        <f t="shared" si="7"/>
        <v>0.98339485701455365</v>
      </c>
      <c r="G39">
        <f t="shared" si="8"/>
        <v>9.6248696602381951</v>
      </c>
      <c r="H39" s="98">
        <v>1.3016409537166893</v>
      </c>
      <c r="I39" s="107">
        <f>G39/H39</f>
        <v>7.3944121324359555</v>
      </c>
      <c r="J39" s="17" t="s">
        <v>117</v>
      </c>
      <c r="P39" s="121">
        <v>10.1</v>
      </c>
      <c r="Q39" s="122">
        <v>6.36</v>
      </c>
      <c r="R39" s="123">
        <v>8.5</v>
      </c>
    </row>
    <row r="40" spans="1:18" ht="16" thickBot="1" x14ac:dyDescent="0.25">
      <c r="A40" s="53">
        <v>1.4352501168770451</v>
      </c>
      <c r="B40" s="90" t="s">
        <v>116</v>
      </c>
      <c r="C40" s="46" t="s">
        <v>27</v>
      </c>
      <c r="D40">
        <f t="shared" si="5"/>
        <v>2681</v>
      </c>
      <c r="E40">
        <f t="shared" si="6"/>
        <v>2113.5</v>
      </c>
      <c r="F40" s="84">
        <f t="shared" si="7"/>
        <v>0.96759561894716373</v>
      </c>
      <c r="G40">
        <f t="shared" si="8"/>
        <v>9.281018085167549</v>
      </c>
      <c r="H40" s="20">
        <v>1.1898083216456288</v>
      </c>
      <c r="I40" s="108">
        <f>G40/H40</f>
        <v>7.8004313100877756</v>
      </c>
      <c r="J40" s="17"/>
      <c r="P40" s="121">
        <v>9.8000000000000007</v>
      </c>
      <c r="Q40" s="122">
        <v>6.9</v>
      </c>
      <c r="R40" s="123">
        <v>8.7200000000000006</v>
      </c>
    </row>
    <row r="41" spans="1:18" x14ac:dyDescent="0.2">
      <c r="A41" s="72">
        <v>1.3884992987377278</v>
      </c>
      <c r="B41" s="89" t="s">
        <v>20</v>
      </c>
      <c r="C41" s="46" t="s">
        <v>28</v>
      </c>
      <c r="D41">
        <f>AVERAGE(H13:I13)</f>
        <v>3480</v>
      </c>
      <c r="E41">
        <f t="shared" si="6"/>
        <v>2912.5</v>
      </c>
      <c r="F41" s="84">
        <f t="shared" si="7"/>
        <v>1.1039580205318238</v>
      </c>
      <c r="G41">
        <f t="shared" si="8"/>
        <v>12.704512958023457</v>
      </c>
      <c r="H41" s="20">
        <v>1.1898083216456288</v>
      </c>
      <c r="I41" s="95">
        <f>G41/H41</f>
        <v>10.677781224837791</v>
      </c>
      <c r="J41" s="17"/>
      <c r="K41" s="26"/>
      <c r="P41" s="121">
        <v>7.37</v>
      </c>
      <c r="Q41" s="122">
        <v>6.7</v>
      </c>
      <c r="R41" s="123">
        <v>7.9</v>
      </c>
    </row>
    <row r="42" spans="1:18" x14ac:dyDescent="0.2">
      <c r="A42" s="53">
        <v>1.3768115942028982</v>
      </c>
      <c r="B42" s="89" t="s">
        <v>21</v>
      </c>
      <c r="C42" s="46" t="s">
        <v>29</v>
      </c>
      <c r="D42">
        <f>AVERAGE(H14:I14)</f>
        <v>3322.5</v>
      </c>
      <c r="E42">
        <f t="shared" si="6"/>
        <v>2755</v>
      </c>
      <c r="F42" s="84">
        <f t="shared" si="7"/>
        <v>1.0803166885300723</v>
      </c>
      <c r="G42">
        <f t="shared" si="8"/>
        <v>12.031414483158146</v>
      </c>
      <c r="H42" s="20">
        <v>1.1898083216456288</v>
      </c>
      <c r="I42" s="104">
        <f>G42/H42</f>
        <v>10.11206113142447</v>
      </c>
      <c r="J42" s="17"/>
      <c r="K42" s="109"/>
      <c r="P42" s="121">
        <v>10.68</v>
      </c>
      <c r="Q42" s="122">
        <v>6.55</v>
      </c>
      <c r="R42" s="123">
        <v>8.1999999999999993</v>
      </c>
    </row>
    <row r="43" spans="1:18" x14ac:dyDescent="0.2">
      <c r="A43" s="53">
        <v>1.9611968209443669</v>
      </c>
      <c r="B43" s="89" t="s">
        <v>22</v>
      </c>
      <c r="C43" s="46" t="s">
        <v>30</v>
      </c>
      <c r="D43">
        <f>AVERAGE(H15:I15)</f>
        <v>3320</v>
      </c>
      <c r="E43">
        <f t="shared" si="6"/>
        <v>2752.5</v>
      </c>
      <c r="F43" s="84">
        <f t="shared" si="7"/>
        <v>1.0799306269284665</v>
      </c>
      <c r="G43">
        <f t="shared" si="8"/>
        <v>12.020724033597675</v>
      </c>
      <c r="H43" s="20">
        <v>1.1898083216456288</v>
      </c>
      <c r="I43" s="104">
        <f>G43/H43</f>
        <v>10.103076113110188</v>
      </c>
      <c r="J43" s="17"/>
      <c r="K43" s="109"/>
      <c r="P43" s="121">
        <v>9.4</v>
      </c>
      <c r="Q43" s="122">
        <v>6.86</v>
      </c>
      <c r="R43" s="123">
        <v>6.99</v>
      </c>
    </row>
    <row r="44" spans="1:18" x14ac:dyDescent="0.2">
      <c r="A44" s="53">
        <v>1.2365591397849462</v>
      </c>
      <c r="B44" s="89" t="s">
        <v>23</v>
      </c>
      <c r="C44" s="46" t="s">
        <v>31</v>
      </c>
      <c r="D44">
        <f>AVERAGE(H16:I16)</f>
        <v>3237.5</v>
      </c>
      <c r="E44">
        <f t="shared" si="6"/>
        <v>2670</v>
      </c>
      <c r="F44" s="84">
        <f t="shared" si="7"/>
        <v>1.0669898909580473</v>
      </c>
      <c r="G44">
        <f t="shared" si="8"/>
        <v>11.667824576320898</v>
      </c>
      <c r="H44" s="20">
        <v>1.1898083216456286</v>
      </c>
      <c r="I44" s="104">
        <f>G44/H44</f>
        <v>9.8064741723970155</v>
      </c>
      <c r="J44" s="17" t="s">
        <v>118</v>
      </c>
      <c r="K44" s="26"/>
      <c r="P44" s="121">
        <v>7.85</v>
      </c>
      <c r="Q44" s="122">
        <v>6.71</v>
      </c>
      <c r="R44" s="123">
        <v>7.8</v>
      </c>
    </row>
    <row r="45" spans="1:18" ht="16" thickBot="1" x14ac:dyDescent="0.25">
      <c r="A45" s="53">
        <v>1.4118747078073866</v>
      </c>
      <c r="B45" s="89" t="s">
        <v>24</v>
      </c>
      <c r="C45" s="46" t="s">
        <v>32</v>
      </c>
      <c r="D45">
        <f>AVERAGE(H17:I17)</f>
        <v>3124.5</v>
      </c>
      <c r="E45">
        <f>D45-$D$60</f>
        <v>2557</v>
      </c>
      <c r="F45" s="84">
        <f t="shared" si="7"/>
        <v>1.0486006124708431</v>
      </c>
      <c r="G45">
        <f t="shared" si="8"/>
        <v>11.184088949930466</v>
      </c>
      <c r="H45" s="20">
        <v>1.1898083216456288</v>
      </c>
      <c r="I45" s="104">
        <f>G45/H45</f>
        <v>9.3999081587038376</v>
      </c>
      <c r="J45" s="17"/>
      <c r="K45" s="26"/>
      <c r="P45" s="124">
        <v>10.11</v>
      </c>
      <c r="Q45" s="125">
        <v>2.4300000000000002</v>
      </c>
      <c r="R45" s="126"/>
    </row>
    <row r="46" spans="1:18" x14ac:dyDescent="0.2">
      <c r="A46" s="72">
        <v>1.4703132304815334</v>
      </c>
      <c r="B46" s="89" t="s">
        <v>25</v>
      </c>
      <c r="C46" s="46" t="s">
        <v>33</v>
      </c>
      <c r="D46">
        <f>AVERAGE(H18:I18)</f>
        <v>2903.5</v>
      </c>
      <c r="E46">
        <f t="shared" si="6"/>
        <v>2336</v>
      </c>
      <c r="F46" s="84">
        <f t="shared" si="7"/>
        <v>1.0101605824986137</v>
      </c>
      <c r="G46">
        <f t="shared" si="8"/>
        <v>10.236714298057793</v>
      </c>
      <c r="H46" s="20">
        <v>1.189808321645629</v>
      </c>
      <c r="I46" s="104">
        <f>G46/H46</f>
        <v>8.6036667518843277</v>
      </c>
      <c r="J46" s="17"/>
      <c r="K46" s="26"/>
      <c r="P46" s="23"/>
    </row>
    <row r="47" spans="1:18" x14ac:dyDescent="0.2">
      <c r="A47" s="53">
        <v>1.4118747078073866</v>
      </c>
      <c r="B47" s="89" t="s">
        <v>26</v>
      </c>
      <c r="C47" s="46" t="s">
        <v>34</v>
      </c>
      <c r="D47">
        <f>AVERAGE(H19:I19)</f>
        <v>2696</v>
      </c>
      <c r="E47">
        <f t="shared" si="6"/>
        <v>2128.5</v>
      </c>
      <c r="F47" s="84">
        <f t="shared" si="7"/>
        <v>0.97060303477016274</v>
      </c>
      <c r="G47">
        <f t="shared" si="8"/>
        <v>9.3455106076388113</v>
      </c>
      <c r="H47" s="20">
        <v>1.1898083216456288</v>
      </c>
      <c r="I47" s="104">
        <f>G47/H47</f>
        <v>7.8546354380115586</v>
      </c>
      <c r="J47" s="17"/>
      <c r="K47" s="26"/>
      <c r="O47" s="17" t="s">
        <v>109</v>
      </c>
      <c r="P47" s="117">
        <f>AVERAGE(P38:P45)</f>
        <v>9.2387499999999996</v>
      </c>
    </row>
    <row r="48" spans="1:18" ht="16" thickBot="1" x14ac:dyDescent="0.25">
      <c r="A48" s="53">
        <v>1.6105656848994856</v>
      </c>
      <c r="B48" s="89" t="s">
        <v>27</v>
      </c>
      <c r="C48" s="46" t="s">
        <v>35</v>
      </c>
      <c r="D48">
        <f>AVERAGE(H20:I20)</f>
        <v>2563</v>
      </c>
      <c r="E48">
        <f t="shared" si="6"/>
        <v>1995.5</v>
      </c>
      <c r="F48" s="84">
        <f t="shared" si="7"/>
        <v>0.94316489308626561</v>
      </c>
      <c r="G48">
        <f t="shared" si="8"/>
        <v>8.773338643541905</v>
      </c>
      <c r="H48" s="20">
        <v>1.1898083216456288</v>
      </c>
      <c r="I48" s="105">
        <f>G48/H48</f>
        <v>7.3737412017823711</v>
      </c>
      <c r="J48" s="17"/>
      <c r="K48" s="26"/>
    </row>
    <row r="49" spans="1:21" x14ac:dyDescent="0.2">
      <c r="A49" s="53">
        <v>1.774193548387097</v>
      </c>
      <c r="B49" s="57" t="s">
        <v>99</v>
      </c>
      <c r="C49" s="46" t="s">
        <v>36</v>
      </c>
      <c r="D49">
        <f>AVERAGE(J13:K13)</f>
        <v>1282</v>
      </c>
      <c r="E49">
        <f t="shared" si="6"/>
        <v>714.5</v>
      </c>
      <c r="F49" s="84">
        <f t="shared" si="7"/>
        <v>0.5064079433057348</v>
      </c>
      <c r="G49">
        <f t="shared" si="8"/>
        <v>3.2092824657288088</v>
      </c>
      <c r="H49" s="20">
        <v>1.1898083216456288</v>
      </c>
      <c r="I49" s="93">
        <f>G49/H49</f>
        <v>2.6973104888777693</v>
      </c>
      <c r="J49" s="17"/>
      <c r="K49" s="26"/>
    </row>
    <row r="50" spans="1:21" x14ac:dyDescent="0.2">
      <c r="A50" s="53">
        <v>1.7157550257129501</v>
      </c>
      <c r="B50" s="57" t="s">
        <v>100</v>
      </c>
      <c r="C50" s="46" t="s">
        <v>37</v>
      </c>
      <c r="D50">
        <f t="shared" ref="D50:D56" si="9">AVERAGE(J14:K14)</f>
        <v>2284.5</v>
      </c>
      <c r="E50">
        <f t="shared" si="6"/>
        <v>1717</v>
      </c>
      <c r="F50" s="84">
        <f t="shared" si="7"/>
        <v>0.87924346430330913</v>
      </c>
      <c r="G50">
        <f t="shared" si="8"/>
        <v>7.5725729242681394</v>
      </c>
      <c r="H50" s="20">
        <v>1.1898083216456288</v>
      </c>
      <c r="I50" s="96">
        <f>G50/H50</f>
        <v>6.3645318212218269</v>
      </c>
      <c r="J50" s="17"/>
      <c r="K50" s="26"/>
      <c r="M50" s="17" t="s">
        <v>125</v>
      </c>
    </row>
    <row r="51" spans="1:21" x14ac:dyDescent="0.2">
      <c r="A51" s="53">
        <v>2.1715755025712951</v>
      </c>
      <c r="B51" s="57" t="s">
        <v>101</v>
      </c>
      <c r="C51" s="46" t="s">
        <v>38</v>
      </c>
      <c r="D51">
        <f t="shared" si="9"/>
        <v>2432.5</v>
      </c>
      <c r="E51">
        <f t="shared" si="6"/>
        <v>1865</v>
      </c>
      <c r="F51" s="84">
        <f t="shared" si="7"/>
        <v>0.91440392265278403</v>
      </c>
      <c r="G51">
        <f t="shared" si="8"/>
        <v>8.2111488055976238</v>
      </c>
      <c r="H51" s="20">
        <v>1.1898083216456288</v>
      </c>
      <c r="I51" s="96">
        <f>G51/H51</f>
        <v>6.9012366582213431</v>
      </c>
      <c r="J51" s="17"/>
      <c r="K51" s="26"/>
      <c r="O51" s="17" t="s">
        <v>118</v>
      </c>
      <c r="P51" s="110" t="s">
        <v>120</v>
      </c>
      <c r="Q51" s="17" t="s">
        <v>119</v>
      </c>
    </row>
    <row r="52" spans="1:21" x14ac:dyDescent="0.2">
      <c r="A52" s="53">
        <v>1.458625525946704</v>
      </c>
      <c r="B52" s="57" t="s">
        <v>102</v>
      </c>
      <c r="C52" s="46" t="s">
        <v>39</v>
      </c>
      <c r="D52">
        <f t="shared" si="9"/>
        <v>2376.5</v>
      </c>
      <c r="E52">
        <f t="shared" si="6"/>
        <v>1809</v>
      </c>
      <c r="F52" s="84">
        <f t="shared" si="7"/>
        <v>0.90143948789790351</v>
      </c>
      <c r="G52">
        <f t="shared" si="8"/>
        <v>7.9696543826082005</v>
      </c>
      <c r="H52" s="20">
        <v>1.1898083216456288</v>
      </c>
      <c r="I52" s="96">
        <f>G52/H52</f>
        <v>6.6982674752058706</v>
      </c>
      <c r="J52" s="17"/>
      <c r="K52" s="26"/>
      <c r="O52">
        <f>P38/9.239</f>
        <v>0.93083667063535003</v>
      </c>
      <c r="P52">
        <f>Q38/9.239384</f>
        <v>0.29114495078892705</v>
      </c>
      <c r="Q52">
        <f>R38/9.239384</f>
        <v>0.8734348523667812</v>
      </c>
      <c r="R52" s="127"/>
    </row>
    <row r="53" spans="1:21" x14ac:dyDescent="0.2">
      <c r="A53" s="53">
        <v>1.4469378214118747</v>
      </c>
      <c r="B53" s="57" t="s">
        <v>103</v>
      </c>
      <c r="C53" s="46" t="s">
        <v>40</v>
      </c>
      <c r="D53">
        <f t="shared" si="9"/>
        <v>2335.5</v>
      </c>
      <c r="E53">
        <f t="shared" si="6"/>
        <v>1768</v>
      </c>
      <c r="F53" s="84">
        <f t="shared" si="7"/>
        <v>0.89169060144184953</v>
      </c>
      <c r="G53">
        <f t="shared" si="8"/>
        <v>7.7927474452868974</v>
      </c>
      <c r="H53" s="20">
        <v>1.1898083216456288</v>
      </c>
      <c r="I53" s="96">
        <f>G53/H53</f>
        <v>6.5495822339759036</v>
      </c>
      <c r="J53" s="110" t="s">
        <v>120</v>
      </c>
      <c r="K53" s="26"/>
      <c r="O53">
        <f>P39/9.239</f>
        <v>1.0931919038857019</v>
      </c>
      <c r="P53">
        <f>Q39/9.239384</f>
        <v>0.68835757881694282</v>
      </c>
      <c r="Q53">
        <f>R39/9.239384</f>
        <v>0.91997475156352426</v>
      </c>
      <c r="R53" s="127"/>
    </row>
    <row r="54" spans="1:21" x14ac:dyDescent="0.2">
      <c r="A54" s="53">
        <v>1.7157550257129501</v>
      </c>
      <c r="B54" s="57" t="s">
        <v>110</v>
      </c>
      <c r="C54" s="46" t="s">
        <v>41</v>
      </c>
      <c r="D54">
        <f t="shared" si="9"/>
        <v>2421.5</v>
      </c>
      <c r="E54">
        <f t="shared" si="6"/>
        <v>1854</v>
      </c>
      <c r="F54" s="84">
        <f t="shared" si="7"/>
        <v>0.91188833850885864</v>
      </c>
      <c r="G54">
        <f t="shared" si="8"/>
        <v>8.1637244678373175</v>
      </c>
      <c r="H54" s="20">
        <v>1.1898083216456288</v>
      </c>
      <c r="I54" s="96">
        <f>G54/H54</f>
        <v>6.8613778533218159</v>
      </c>
      <c r="K54" s="26"/>
      <c r="O54">
        <f>P40/9.239</f>
        <v>1.0607208572356315</v>
      </c>
      <c r="P54">
        <f>Q40/9.239384</f>
        <v>0.74680303362215494</v>
      </c>
      <c r="Q54">
        <f>R40/9.239384</f>
        <v>0.9437858627804625</v>
      </c>
      <c r="R54" s="127"/>
    </row>
    <row r="55" spans="1:21" x14ac:dyDescent="0.2">
      <c r="A55" s="53">
        <v>1.3651238896680691</v>
      </c>
      <c r="B55" s="57" t="s">
        <v>111</v>
      </c>
      <c r="C55" s="46" t="s">
        <v>67</v>
      </c>
      <c r="D55">
        <f t="shared" si="9"/>
        <v>2380.5</v>
      </c>
      <c r="E55">
        <f t="shared" si="6"/>
        <v>1813</v>
      </c>
      <c r="F55" s="84">
        <f t="shared" si="7"/>
        <v>0.90237874134426732</v>
      </c>
      <c r="G55">
        <f t="shared" si="8"/>
        <v>7.9869090934321036</v>
      </c>
      <c r="H55" s="20">
        <v>1.1898083216456288</v>
      </c>
      <c r="I55" s="96">
        <f>G55/H55</f>
        <v>6.7127695681144477</v>
      </c>
      <c r="K55" s="26"/>
      <c r="O55">
        <f>P41/9.239</f>
        <v>0.7977053793700617</v>
      </c>
      <c r="P55">
        <f>Q41/9.239384</f>
        <v>0.72515656887948376</v>
      </c>
      <c r="Q55">
        <f>R41/9.239384</f>
        <v>0.85503535733551073</v>
      </c>
      <c r="R55" s="127"/>
    </row>
    <row r="56" spans="1:21" ht="16" thickBot="1" x14ac:dyDescent="0.25">
      <c r="A56" s="53">
        <v>1.2014960261804581</v>
      </c>
      <c r="B56" s="57" t="s">
        <v>112</v>
      </c>
      <c r="C56" s="46" t="s">
        <v>68</v>
      </c>
      <c r="D56">
        <f t="shared" si="9"/>
        <v>1209.5</v>
      </c>
      <c r="E56">
        <f t="shared" si="6"/>
        <v>642</v>
      </c>
      <c r="F56" s="84">
        <f t="shared" si="7"/>
        <v>0.4609087895305749</v>
      </c>
      <c r="G56">
        <f t="shared" si="8"/>
        <v>2.8900728459074858</v>
      </c>
      <c r="H56" s="20">
        <v>1.1898083216456288</v>
      </c>
      <c r="I56" s="97">
        <f>G56/H56</f>
        <v>2.4290238968157611</v>
      </c>
      <c r="K56" s="26"/>
      <c r="O56">
        <f>P42/9.239</f>
        <v>1.1559692607425045</v>
      </c>
      <c r="P56">
        <f>Q42/9.239384</f>
        <v>0.70892172032248035</v>
      </c>
      <c r="Q56">
        <f>R42/9.239384</f>
        <v>0.88750505444951744</v>
      </c>
      <c r="R56" s="127"/>
    </row>
    <row r="57" spans="1:21" x14ac:dyDescent="0.2">
      <c r="A57" s="53">
        <v>1.4936886395511919</v>
      </c>
      <c r="B57" s="57" t="s">
        <v>87</v>
      </c>
      <c r="C57" s="46" t="s">
        <v>69</v>
      </c>
      <c r="D57">
        <f>AVERAGE(L13:M13)</f>
        <v>646.5</v>
      </c>
      <c r="E57">
        <f t="shared" si="6"/>
        <v>79</v>
      </c>
      <c r="F57" s="84"/>
      <c r="G57">
        <f t="shared" si="8"/>
        <v>1</v>
      </c>
      <c r="H57" s="20">
        <v>1.1898083216456288</v>
      </c>
      <c r="I57" s="102">
        <f>G57/H57</f>
        <v>0.84047151277013754</v>
      </c>
      <c r="K57" s="26"/>
      <c r="O57">
        <f>P43/9.239</f>
        <v>1.017426128368871</v>
      </c>
      <c r="P57">
        <f>Q43/9.239384</f>
        <v>0.74247374067362071</v>
      </c>
      <c r="Q57">
        <f>R43/9.239384</f>
        <v>0.75654394275635695</v>
      </c>
      <c r="R57" s="127"/>
    </row>
    <row r="58" spans="1:21" x14ac:dyDescent="0.2">
      <c r="A58" s="53">
        <v>1.7157550257129501</v>
      </c>
      <c r="B58" s="57" t="s">
        <v>88</v>
      </c>
      <c r="C58" s="46" t="s">
        <v>70</v>
      </c>
      <c r="D58">
        <f t="shared" ref="D58:D61" si="10">AVERAGE(L14:M14)</f>
        <v>602.5</v>
      </c>
      <c r="E58">
        <f t="shared" si="6"/>
        <v>35</v>
      </c>
      <c r="F58" s="84"/>
      <c r="G58">
        <f t="shared" si="8"/>
        <v>1</v>
      </c>
      <c r="H58" s="20">
        <v>1.1898083216456288</v>
      </c>
      <c r="I58" s="102">
        <f>G58/H58</f>
        <v>0.84047151277013754</v>
      </c>
      <c r="K58" s="26"/>
      <c r="O58">
        <f>P44/9.239</f>
        <v>0.84965905401017416</v>
      </c>
      <c r="P58">
        <f>Q44/9.239384</f>
        <v>0.7262388921166173</v>
      </c>
      <c r="Q58">
        <f>R44/9.239384</f>
        <v>0.84421212496417519</v>
      </c>
      <c r="R58" s="127"/>
    </row>
    <row r="59" spans="1:21" x14ac:dyDescent="0.2">
      <c r="A59" s="53">
        <v>1.5170640486208509</v>
      </c>
      <c r="B59" s="57" t="s">
        <v>89</v>
      </c>
      <c r="C59" s="46" t="s">
        <v>71</v>
      </c>
      <c r="D59">
        <f t="shared" si="10"/>
        <v>614</v>
      </c>
      <c r="E59">
        <f t="shared" si="6"/>
        <v>46.5</v>
      </c>
      <c r="F59" s="84"/>
      <c r="G59">
        <f t="shared" si="8"/>
        <v>1</v>
      </c>
      <c r="H59" s="20">
        <v>1.1898083216456288</v>
      </c>
      <c r="I59" s="102">
        <f>G59/H59</f>
        <v>0.84047151277013754</v>
      </c>
      <c r="K59" s="26"/>
      <c r="O59">
        <f>P45/9.239</f>
        <v>1.0942742721073708</v>
      </c>
      <c r="P59">
        <f>Q45/9.239384</f>
        <v>0.26300454662345457</v>
      </c>
    </row>
    <row r="60" spans="1:21" x14ac:dyDescent="0.2">
      <c r="A60" s="53">
        <v>1.7274427302477793</v>
      </c>
      <c r="B60" s="57" t="s">
        <v>90</v>
      </c>
      <c r="C60" s="46" t="s">
        <v>72</v>
      </c>
      <c r="D60">
        <f t="shared" si="10"/>
        <v>567.5</v>
      </c>
      <c r="E60">
        <f t="shared" si="6"/>
        <v>0</v>
      </c>
      <c r="F60" s="84"/>
      <c r="G60">
        <f t="shared" si="8"/>
        <v>1</v>
      </c>
      <c r="H60" s="20">
        <v>1.1898083216456286</v>
      </c>
      <c r="I60" s="102">
        <f>G60/H60</f>
        <v>0.84047151277013765</v>
      </c>
      <c r="K60" s="26"/>
    </row>
    <row r="61" spans="1:21" x14ac:dyDescent="0.2">
      <c r="A61" s="53">
        <v>1.3884992987377278</v>
      </c>
      <c r="B61" s="57" t="s">
        <v>91</v>
      </c>
      <c r="C61" s="58" t="s">
        <v>73</v>
      </c>
      <c r="D61">
        <f t="shared" si="10"/>
        <v>613.5</v>
      </c>
      <c r="E61">
        <f t="shared" si="6"/>
        <v>46</v>
      </c>
      <c r="F61" s="84"/>
      <c r="G61">
        <f t="shared" si="8"/>
        <v>1</v>
      </c>
      <c r="H61" s="20">
        <v>1.1898083216456288</v>
      </c>
      <c r="I61" s="102">
        <f>G61/H61</f>
        <v>0.84047151277013754</v>
      </c>
      <c r="K61" s="26"/>
    </row>
    <row r="62" spans="1:21" x14ac:dyDescent="0.2">
      <c r="A62" s="50"/>
      <c r="B62" s="57"/>
      <c r="C62" s="23"/>
      <c r="K62" s="26"/>
      <c r="M62" t="s">
        <v>126</v>
      </c>
      <c r="O62" s="127"/>
      <c r="P62" s="127"/>
      <c r="Q62" s="127"/>
    </row>
    <row r="63" spans="1:21" ht="16" thickBot="1" x14ac:dyDescent="0.25">
      <c r="A63" s="54"/>
      <c r="B63" s="48"/>
      <c r="C63" s="23"/>
      <c r="D63" s="77"/>
      <c r="E63" s="78"/>
      <c r="F63" s="77"/>
      <c r="G63" s="77"/>
      <c r="H63" s="77"/>
      <c r="I63" s="94"/>
      <c r="J63" s="77"/>
      <c r="O63" s="127"/>
      <c r="P63" s="127"/>
      <c r="Q63" s="127"/>
    </row>
    <row r="64" spans="1:21" ht="16" thickBot="1" x14ac:dyDescent="0.25">
      <c r="A64" s="54"/>
      <c r="B64" s="48"/>
      <c r="C64" s="23"/>
      <c r="D64" s="23"/>
      <c r="E64" s="23"/>
      <c r="F64" s="79"/>
      <c r="G64" s="23"/>
      <c r="H64" s="55"/>
      <c r="I64" s="47"/>
      <c r="J64" s="23"/>
      <c r="M64" s="134" t="s">
        <v>162</v>
      </c>
      <c r="N64" s="135"/>
      <c r="O64" s="135"/>
      <c r="P64" s="135"/>
      <c r="Q64" s="135"/>
      <c r="R64" s="135"/>
      <c r="S64" s="136"/>
      <c r="T64" s="136"/>
      <c r="U64" s="137"/>
    </row>
    <row r="65" spans="1:21" x14ac:dyDescent="0.2">
      <c r="A65" s="54"/>
      <c r="B65" s="48"/>
      <c r="C65" s="23"/>
      <c r="D65" s="23"/>
      <c r="E65" s="23"/>
      <c r="F65" s="79"/>
      <c r="G65" s="23"/>
      <c r="H65" s="55"/>
      <c r="I65" s="47"/>
      <c r="J65" s="23"/>
      <c r="M65" s="128" t="s">
        <v>6</v>
      </c>
      <c r="N65" s="129">
        <v>14.25</v>
      </c>
      <c r="O65" s="129"/>
      <c r="P65" s="129"/>
      <c r="Q65" s="129"/>
      <c r="R65" s="129"/>
      <c r="S65" s="92"/>
      <c r="T65" s="92"/>
      <c r="U65" s="92"/>
    </row>
    <row r="66" spans="1:21" x14ac:dyDescent="0.2">
      <c r="A66" s="54"/>
      <c r="B66" s="48"/>
      <c r="C66" s="23"/>
      <c r="D66" s="23"/>
      <c r="E66" s="23"/>
      <c r="F66" s="79"/>
      <c r="G66" s="23"/>
      <c r="H66" s="55"/>
      <c r="I66" s="47"/>
      <c r="J66" s="79"/>
      <c r="K66" s="23"/>
      <c r="M66" s="128" t="s">
        <v>127</v>
      </c>
      <c r="N66" s="129">
        <v>1E-4</v>
      </c>
      <c r="O66" s="129"/>
      <c r="P66" s="129"/>
      <c r="Q66" s="129"/>
      <c r="R66" s="129"/>
      <c r="S66" s="92"/>
      <c r="T66" s="92"/>
      <c r="U66" s="92"/>
    </row>
    <row r="67" spans="1:21" x14ac:dyDescent="0.2">
      <c r="A67" s="54"/>
      <c r="B67" s="23"/>
      <c r="C67" s="23"/>
      <c r="D67" s="23"/>
      <c r="E67" s="23"/>
      <c r="F67" s="23"/>
      <c r="G67" s="23"/>
      <c r="H67" s="55"/>
      <c r="I67" s="47"/>
      <c r="J67" s="23"/>
      <c r="M67" s="130" t="s">
        <v>128</v>
      </c>
      <c r="N67" s="131" t="s">
        <v>129</v>
      </c>
      <c r="O67" s="129"/>
      <c r="P67" s="129"/>
      <c r="Q67" s="129"/>
      <c r="R67" s="129"/>
      <c r="S67" s="92"/>
      <c r="T67" s="92"/>
      <c r="U67" s="92"/>
    </row>
    <row r="68" spans="1:21" x14ac:dyDescent="0.2">
      <c r="A68" s="54"/>
      <c r="B68" s="23"/>
      <c r="C68" s="23"/>
      <c r="D68" s="23"/>
      <c r="E68" s="23"/>
      <c r="F68" s="23"/>
      <c r="G68" s="23"/>
      <c r="H68" s="55"/>
      <c r="I68" s="47"/>
      <c r="J68" s="23"/>
      <c r="K68" s="23"/>
      <c r="M68" s="128" t="s">
        <v>130</v>
      </c>
      <c r="N68" s="129" t="s">
        <v>131</v>
      </c>
      <c r="O68" s="129"/>
      <c r="P68" s="129"/>
      <c r="Q68" s="129"/>
      <c r="R68" s="129"/>
      <c r="S68" s="92"/>
      <c r="T68" s="92"/>
      <c r="U68" s="92"/>
    </row>
    <row r="69" spans="1:21" x14ac:dyDescent="0.2">
      <c r="A69" s="54"/>
      <c r="B69" s="23"/>
      <c r="C69" s="23"/>
      <c r="D69" s="23"/>
      <c r="E69" s="23"/>
      <c r="F69" s="23"/>
      <c r="G69" s="23"/>
      <c r="H69" s="55"/>
      <c r="I69" s="47"/>
      <c r="J69" s="23"/>
      <c r="K69" s="23"/>
      <c r="M69" s="128" t="s">
        <v>132</v>
      </c>
      <c r="N69" s="129">
        <v>0.58760000000000001</v>
      </c>
      <c r="O69" s="129"/>
      <c r="P69" s="129"/>
      <c r="Q69" s="129"/>
      <c r="R69" s="129"/>
      <c r="S69" s="92"/>
      <c r="T69" s="92"/>
      <c r="U69" s="92"/>
    </row>
    <row r="70" spans="1:21" x14ac:dyDescent="0.2">
      <c r="A70" s="54"/>
      <c r="B70" s="23"/>
      <c r="C70" s="23"/>
      <c r="D70" s="23"/>
      <c r="E70" s="23"/>
      <c r="F70" s="23"/>
      <c r="G70" s="23"/>
      <c r="H70" s="55"/>
      <c r="I70" s="47"/>
      <c r="J70" s="23"/>
      <c r="K70" s="23"/>
      <c r="M70" s="128" t="s">
        <v>133</v>
      </c>
      <c r="N70" s="129">
        <v>1</v>
      </c>
      <c r="O70" s="129"/>
      <c r="P70" s="129"/>
      <c r="Q70" s="129"/>
      <c r="R70" s="129"/>
      <c r="S70" s="129"/>
      <c r="T70" s="129"/>
      <c r="U70" s="129"/>
    </row>
    <row r="71" spans="1:21" x14ac:dyDescent="0.2">
      <c r="A71" s="54"/>
      <c r="B71" s="23"/>
      <c r="C71" s="23"/>
      <c r="D71" s="23"/>
      <c r="E71" s="23"/>
      <c r="F71" s="23"/>
      <c r="G71" s="23"/>
      <c r="H71" s="55"/>
      <c r="I71" s="47"/>
      <c r="J71" s="23"/>
      <c r="K71" s="23"/>
      <c r="M71" s="128" t="s">
        <v>134</v>
      </c>
      <c r="N71" s="129">
        <v>3</v>
      </c>
      <c r="O71" s="129"/>
      <c r="P71" s="129"/>
      <c r="Q71" s="129"/>
      <c r="R71" s="129"/>
      <c r="S71" s="129"/>
      <c r="T71" s="129"/>
      <c r="U71" s="129"/>
    </row>
    <row r="72" spans="1:21" x14ac:dyDescent="0.2">
      <c r="G72" s="23"/>
      <c r="K72" s="23"/>
      <c r="M72" s="128" t="s">
        <v>135</v>
      </c>
      <c r="N72" s="129">
        <v>0.05</v>
      </c>
      <c r="O72" s="129"/>
      <c r="P72" s="129"/>
      <c r="Q72" s="129"/>
      <c r="R72" s="129"/>
      <c r="S72" s="129"/>
      <c r="T72" s="129"/>
      <c r="U72" s="129"/>
    </row>
    <row r="73" spans="1:21" ht="16" thickBot="1" x14ac:dyDescent="0.25">
      <c r="G73" s="23"/>
      <c r="K73" s="23"/>
      <c r="M73" s="132"/>
      <c r="N73" s="133"/>
      <c r="O73" s="133"/>
      <c r="P73" s="133"/>
      <c r="Q73" s="133"/>
      <c r="R73" s="133"/>
      <c r="S73" s="133"/>
      <c r="T73" s="133"/>
      <c r="U73" s="133"/>
    </row>
    <row r="74" spans="1:21" x14ac:dyDescent="0.2">
      <c r="G74" s="23"/>
      <c r="K74" s="23"/>
      <c r="M74" s="130" t="s">
        <v>136</v>
      </c>
      <c r="N74" s="129" t="s">
        <v>137</v>
      </c>
      <c r="O74" s="129" t="s">
        <v>138</v>
      </c>
      <c r="P74" s="129" t="s">
        <v>139</v>
      </c>
      <c r="Q74" s="129" t="s">
        <v>140</v>
      </c>
      <c r="R74" s="129" t="s">
        <v>141</v>
      </c>
      <c r="S74" s="129"/>
      <c r="T74" s="129"/>
      <c r="U74" s="129"/>
    </row>
    <row r="75" spans="1:21" x14ac:dyDescent="0.2">
      <c r="M75" s="128"/>
      <c r="N75" s="129"/>
      <c r="O75" s="129"/>
      <c r="P75" s="129"/>
      <c r="Q75" s="129"/>
      <c r="R75" s="129"/>
      <c r="S75" s="129"/>
      <c r="T75" s="129"/>
      <c r="U75" s="129"/>
    </row>
    <row r="76" spans="1:21" ht="18" x14ac:dyDescent="0.25">
      <c r="M76" s="130" t="s">
        <v>159</v>
      </c>
      <c r="N76" s="131">
        <v>0.38850000000000001</v>
      </c>
      <c r="O76" s="131" t="s">
        <v>142</v>
      </c>
      <c r="P76" s="131" t="s">
        <v>131</v>
      </c>
      <c r="Q76" s="131" t="s">
        <v>129</v>
      </c>
      <c r="R76" s="131">
        <v>1E-4</v>
      </c>
      <c r="S76" s="129"/>
      <c r="T76" s="129"/>
      <c r="U76" s="129"/>
    </row>
    <row r="77" spans="1:21" ht="18" x14ac:dyDescent="0.25">
      <c r="M77" s="130" t="s">
        <v>160</v>
      </c>
      <c r="N77" s="131">
        <v>0.1313</v>
      </c>
      <c r="O77" s="131" t="s">
        <v>143</v>
      </c>
      <c r="P77" s="131" t="s">
        <v>144</v>
      </c>
      <c r="Q77" s="131" t="s">
        <v>145</v>
      </c>
      <c r="R77" s="131">
        <v>0.2238</v>
      </c>
      <c r="S77" s="129"/>
      <c r="T77" s="129"/>
      <c r="U77" s="129"/>
    </row>
    <row r="78" spans="1:21" ht="18" x14ac:dyDescent="0.25">
      <c r="M78" s="130" t="s">
        <v>161</v>
      </c>
      <c r="N78" s="131">
        <v>-0.2571</v>
      </c>
      <c r="O78" s="131" t="s">
        <v>146</v>
      </c>
      <c r="P78" s="131" t="s">
        <v>131</v>
      </c>
      <c r="Q78" s="131" t="s">
        <v>147</v>
      </c>
      <c r="R78" s="131">
        <v>8.3999999999999995E-3</v>
      </c>
      <c r="S78" s="129"/>
      <c r="T78" s="129"/>
      <c r="U78" s="129"/>
    </row>
    <row r="79" spans="1:21" ht="16" thickBot="1" x14ac:dyDescent="0.25">
      <c r="M79" s="132"/>
      <c r="N79" s="133"/>
      <c r="O79" s="133"/>
      <c r="P79" s="133"/>
      <c r="Q79" s="133"/>
      <c r="R79" s="133"/>
      <c r="S79" s="133"/>
      <c r="T79" s="133"/>
      <c r="U79" s="133"/>
    </row>
    <row r="80" spans="1:21" x14ac:dyDescent="0.2">
      <c r="M80" s="128"/>
      <c r="N80" s="129"/>
      <c r="O80" s="129"/>
      <c r="P80" s="129"/>
      <c r="Q80" s="129"/>
      <c r="R80" s="129"/>
      <c r="S80" s="129"/>
      <c r="T80" s="129"/>
      <c r="U80" s="129"/>
    </row>
    <row r="81" spans="13:21" x14ac:dyDescent="0.2">
      <c r="M81" s="128" t="s">
        <v>148</v>
      </c>
      <c r="N81" s="129" t="s">
        <v>149</v>
      </c>
      <c r="O81" s="129" t="s">
        <v>150</v>
      </c>
      <c r="P81" s="129" t="s">
        <v>137</v>
      </c>
      <c r="Q81" s="129" t="s">
        <v>151</v>
      </c>
      <c r="R81" s="129" t="s">
        <v>152</v>
      </c>
      <c r="S81" s="129" t="s">
        <v>153</v>
      </c>
      <c r="T81" s="129" t="s">
        <v>154</v>
      </c>
      <c r="U81" s="129" t="s">
        <v>155</v>
      </c>
    </row>
    <row r="82" spans="13:21" x14ac:dyDescent="0.2">
      <c r="M82" s="128"/>
      <c r="N82" s="129"/>
      <c r="O82" s="129"/>
      <c r="P82" s="129"/>
      <c r="Q82" s="129"/>
      <c r="R82" s="129"/>
      <c r="S82" s="129"/>
      <c r="T82" s="129"/>
      <c r="U82" s="129"/>
    </row>
    <row r="83" spans="13:21" ht="18" x14ac:dyDescent="0.25">
      <c r="M83" s="128" t="s">
        <v>156</v>
      </c>
      <c r="N83" s="129">
        <v>1</v>
      </c>
      <c r="O83" s="129">
        <v>0.61150000000000004</v>
      </c>
      <c r="P83" s="129">
        <v>0.38850000000000001</v>
      </c>
      <c r="Q83" s="129">
        <v>7.3929999999999996E-2</v>
      </c>
      <c r="R83" s="129">
        <v>8</v>
      </c>
      <c r="S83" s="129">
        <v>8</v>
      </c>
      <c r="T83" s="129">
        <v>7.431</v>
      </c>
      <c r="U83" s="129">
        <v>20</v>
      </c>
    </row>
    <row r="84" spans="13:21" ht="18" x14ac:dyDescent="0.25">
      <c r="M84" s="128" t="s">
        <v>157</v>
      </c>
      <c r="N84" s="129">
        <v>1</v>
      </c>
      <c r="O84" s="129">
        <v>0.86860000000000004</v>
      </c>
      <c r="P84" s="129">
        <v>0.1313</v>
      </c>
      <c r="Q84" s="129">
        <v>7.6520000000000005E-2</v>
      </c>
      <c r="R84" s="129">
        <v>8</v>
      </c>
      <c r="S84" s="129">
        <v>7</v>
      </c>
      <c r="T84" s="129">
        <v>2.427</v>
      </c>
      <c r="U84" s="129">
        <v>20</v>
      </c>
    </row>
    <row r="85" spans="13:21" ht="19" thickBot="1" x14ac:dyDescent="0.3">
      <c r="M85" s="132" t="s">
        <v>158</v>
      </c>
      <c r="N85" s="133">
        <v>0.61150000000000004</v>
      </c>
      <c r="O85" s="133">
        <v>0.86860000000000004</v>
      </c>
      <c r="P85" s="133">
        <v>-0.2571</v>
      </c>
      <c r="Q85" s="133">
        <v>7.6520000000000005E-2</v>
      </c>
      <c r="R85" s="133">
        <v>8</v>
      </c>
      <c r="S85" s="133">
        <v>7</v>
      </c>
      <c r="T85" s="133">
        <v>4.7519999999999998</v>
      </c>
      <c r="U85" s="133">
        <v>20</v>
      </c>
    </row>
  </sheetData>
  <mergeCells count="2">
    <mergeCell ref="B10:C10"/>
    <mergeCell ref="D10:E10"/>
  </mergeCells>
  <pageMargins left="0.7" right="0.7" top="0.75" bottom="0.75" header="0.3" footer="0.3"/>
  <pageSetup paperSize="9" orientation="portrait" horizontalDpi="4294967292" verticalDpi="4294967292" r:id="rId1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BCA 750nm</vt:lpstr>
      <vt:lpstr>MSD plate maps</vt:lpstr>
      <vt:lpstr>E heads results</vt:lpstr>
      <vt:lpstr>Sheet1</vt:lpstr>
    </vt:vector>
  </TitlesOfParts>
  <Company>MRC Prion Unit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Moens (Prion)</dc:creator>
  <cp:lastModifiedBy>Magda Atilano</cp:lastModifiedBy>
  <cp:lastPrinted>2018-01-17T10:11:40Z</cp:lastPrinted>
  <dcterms:created xsi:type="dcterms:W3CDTF">2017-07-24T10:12:46Z</dcterms:created>
  <dcterms:modified xsi:type="dcterms:W3CDTF">2021-02-15T11:01:50Z</dcterms:modified>
</cp:coreProperties>
</file>