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705"/>
  <workbookPr autoCompressPictures="0"/>
  <bookViews>
    <workbookView xWindow="760" yWindow="460" windowWidth="13280" windowHeight="15120"/>
  </bookViews>
  <sheets>
    <sheet name="L" sheetId="1" r:id="rId1"/>
    <sheet name=" L raw" sheetId="2" r:id="rId2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1" i="2" l="1"/>
  <c r="C81" i="2"/>
  <c r="D81" i="2"/>
  <c r="H81" i="2"/>
  <c r="I81" i="2"/>
  <c r="J81" i="2"/>
  <c r="N81" i="2"/>
  <c r="O81" i="2"/>
  <c r="P81" i="2"/>
  <c r="U81" i="2"/>
  <c r="B60" i="2"/>
  <c r="C60" i="2"/>
  <c r="D60" i="2"/>
  <c r="H60" i="2"/>
  <c r="I60" i="2"/>
  <c r="J60" i="2"/>
  <c r="N60" i="2"/>
  <c r="O60" i="2"/>
  <c r="P60" i="2"/>
  <c r="R60" i="2"/>
  <c r="B49" i="2"/>
  <c r="C49" i="2"/>
  <c r="D49" i="2"/>
  <c r="H49" i="2"/>
  <c r="I49" i="2"/>
  <c r="J49" i="2"/>
  <c r="N49" i="2"/>
  <c r="O49" i="2"/>
  <c r="P49" i="2"/>
  <c r="T49" i="2"/>
  <c r="B29" i="2"/>
  <c r="C29" i="2"/>
  <c r="D29" i="2"/>
  <c r="H29" i="2"/>
  <c r="I29" i="2"/>
  <c r="J29" i="2"/>
  <c r="R29" i="2"/>
  <c r="S29" i="2"/>
  <c r="B8" i="2"/>
  <c r="C8" i="2"/>
  <c r="D8" i="2"/>
  <c r="H8" i="2"/>
  <c r="I8" i="2"/>
  <c r="J8" i="2"/>
  <c r="N8" i="2"/>
  <c r="O8" i="2"/>
  <c r="P8" i="2"/>
  <c r="R8" i="2"/>
  <c r="B9" i="2"/>
  <c r="P101" i="2"/>
  <c r="O101" i="2"/>
  <c r="N101" i="2"/>
  <c r="J101" i="2"/>
  <c r="I101" i="2"/>
  <c r="H101" i="2"/>
  <c r="D101" i="2"/>
  <c r="C101" i="2"/>
  <c r="B101" i="2"/>
  <c r="T101" i="2"/>
  <c r="P100" i="2"/>
  <c r="O100" i="2"/>
  <c r="N100" i="2"/>
  <c r="J100" i="2"/>
  <c r="I100" i="2"/>
  <c r="H100" i="2"/>
  <c r="D100" i="2"/>
  <c r="C100" i="2"/>
  <c r="B100" i="2"/>
  <c r="T100" i="2"/>
  <c r="Q99" i="2"/>
  <c r="K99" i="2"/>
  <c r="E99" i="2"/>
  <c r="Q98" i="2"/>
  <c r="K98" i="2"/>
  <c r="E98" i="2"/>
  <c r="P91" i="2"/>
  <c r="O91" i="2"/>
  <c r="N91" i="2"/>
  <c r="J91" i="2"/>
  <c r="I91" i="2"/>
  <c r="H91" i="2"/>
  <c r="D91" i="2"/>
  <c r="B91" i="2"/>
  <c r="C91" i="2"/>
  <c r="T91" i="2"/>
  <c r="R91" i="2"/>
  <c r="B90" i="2"/>
  <c r="C90" i="2"/>
  <c r="D90" i="2"/>
  <c r="H90" i="2"/>
  <c r="I90" i="2"/>
  <c r="J90" i="2"/>
  <c r="N90" i="2"/>
  <c r="O90" i="2"/>
  <c r="P90" i="2"/>
  <c r="S90" i="2"/>
  <c r="T90" i="2"/>
  <c r="R90" i="2"/>
  <c r="Q89" i="2"/>
  <c r="K89" i="2"/>
  <c r="E89" i="2"/>
  <c r="Q88" i="2"/>
  <c r="K88" i="2"/>
  <c r="E88" i="2"/>
  <c r="P80" i="2"/>
  <c r="O80" i="2"/>
  <c r="N80" i="2"/>
  <c r="J80" i="2"/>
  <c r="I80" i="2"/>
  <c r="H80" i="2"/>
  <c r="D80" i="2"/>
  <c r="B80" i="2"/>
  <c r="C80" i="2"/>
  <c r="R80" i="2"/>
  <c r="S80" i="2"/>
  <c r="T80" i="2"/>
  <c r="Q79" i="2"/>
  <c r="K79" i="2"/>
  <c r="E79" i="2"/>
  <c r="Q78" i="2"/>
  <c r="K78" i="2"/>
  <c r="E78" i="2"/>
  <c r="P70" i="2"/>
  <c r="O70" i="2"/>
  <c r="N70" i="2"/>
  <c r="J70" i="2"/>
  <c r="I70" i="2"/>
  <c r="H70" i="2"/>
  <c r="D70" i="2"/>
  <c r="C70" i="2"/>
  <c r="B70" i="2"/>
  <c r="T70" i="2"/>
  <c r="P69" i="2"/>
  <c r="O69" i="2"/>
  <c r="N69" i="2"/>
  <c r="J69" i="2"/>
  <c r="I69" i="2"/>
  <c r="H69" i="2"/>
  <c r="D69" i="2"/>
  <c r="C69" i="2"/>
  <c r="B69" i="2"/>
  <c r="T69" i="2"/>
  <c r="Q68" i="2"/>
  <c r="K68" i="2"/>
  <c r="E68" i="2"/>
  <c r="Q67" i="2"/>
  <c r="K67" i="2"/>
  <c r="E67" i="2"/>
  <c r="S60" i="2"/>
  <c r="P59" i="2"/>
  <c r="O59" i="2"/>
  <c r="N59" i="2"/>
  <c r="J59" i="2"/>
  <c r="I59" i="2"/>
  <c r="H59" i="2"/>
  <c r="D59" i="2"/>
  <c r="B59" i="2"/>
  <c r="C59" i="2"/>
  <c r="T59" i="2"/>
  <c r="R59" i="2"/>
  <c r="Q58" i="2"/>
  <c r="K58" i="2"/>
  <c r="E58" i="2"/>
  <c r="Q57" i="2"/>
  <c r="K57" i="2"/>
  <c r="E57" i="2"/>
  <c r="P50" i="2"/>
  <c r="O50" i="2"/>
  <c r="N50" i="2"/>
  <c r="J50" i="2"/>
  <c r="I50" i="2"/>
  <c r="H50" i="2"/>
  <c r="D50" i="2"/>
  <c r="C50" i="2"/>
  <c r="B50" i="2"/>
  <c r="T50" i="2"/>
  <c r="Q48" i="2"/>
  <c r="K48" i="2"/>
  <c r="E48" i="2"/>
  <c r="Q47" i="2"/>
  <c r="K47" i="2"/>
  <c r="E47" i="2"/>
  <c r="P39" i="2"/>
  <c r="O39" i="2"/>
  <c r="N39" i="2"/>
  <c r="J39" i="2"/>
  <c r="I39" i="2"/>
  <c r="H39" i="2"/>
  <c r="D39" i="2"/>
  <c r="B39" i="2"/>
  <c r="C39" i="2"/>
  <c r="T39" i="2"/>
  <c r="R39" i="2"/>
  <c r="P38" i="2"/>
  <c r="O38" i="2"/>
  <c r="N38" i="2"/>
  <c r="J38" i="2"/>
  <c r="I38" i="2"/>
  <c r="H38" i="2"/>
  <c r="D38" i="2"/>
  <c r="B38" i="2"/>
  <c r="C38" i="2"/>
  <c r="S38" i="2"/>
  <c r="R38" i="2"/>
  <c r="Q37" i="2"/>
  <c r="K37" i="2"/>
  <c r="E37" i="2"/>
  <c r="Q36" i="2"/>
  <c r="K36" i="2"/>
  <c r="E36" i="2"/>
  <c r="U29" i="2"/>
  <c r="J28" i="2"/>
  <c r="I28" i="2"/>
  <c r="H28" i="2"/>
  <c r="D28" i="2"/>
  <c r="C28" i="2"/>
  <c r="B28" i="2"/>
  <c r="R28" i="2"/>
  <c r="S28" i="2"/>
  <c r="K27" i="2"/>
  <c r="E27" i="2"/>
  <c r="K26" i="2"/>
  <c r="E26" i="2"/>
  <c r="P19" i="2"/>
  <c r="O19" i="2"/>
  <c r="N19" i="2"/>
  <c r="J19" i="2"/>
  <c r="I19" i="2"/>
  <c r="H19" i="2"/>
  <c r="D19" i="2"/>
  <c r="C19" i="2"/>
  <c r="B19" i="2"/>
  <c r="T19" i="2"/>
  <c r="P18" i="2"/>
  <c r="O18" i="2"/>
  <c r="N18" i="2"/>
  <c r="J18" i="2"/>
  <c r="I18" i="2"/>
  <c r="H18" i="2"/>
  <c r="D18" i="2"/>
  <c r="C18" i="2"/>
  <c r="B18" i="2"/>
  <c r="T18" i="2"/>
  <c r="Q17" i="2"/>
  <c r="K17" i="2"/>
  <c r="E17" i="2"/>
  <c r="Q16" i="2"/>
  <c r="K16" i="2"/>
  <c r="E16" i="2"/>
  <c r="P9" i="2"/>
  <c r="O9" i="2"/>
  <c r="N9" i="2"/>
  <c r="J9" i="2"/>
  <c r="I9" i="2"/>
  <c r="H9" i="2"/>
  <c r="D9" i="2"/>
  <c r="C9" i="2"/>
  <c r="S9" i="2"/>
  <c r="R9" i="2"/>
  <c r="S8" i="2"/>
  <c r="Q7" i="2"/>
  <c r="K7" i="2"/>
  <c r="E7" i="2"/>
  <c r="Q6" i="2"/>
  <c r="K6" i="2"/>
  <c r="E6" i="2"/>
  <c r="R81" i="2"/>
  <c r="S81" i="2"/>
  <c r="T81" i="2"/>
  <c r="T28" i="2"/>
  <c r="S39" i="2"/>
  <c r="S59" i="2"/>
  <c r="S91" i="2"/>
  <c r="T8" i="2"/>
  <c r="T9" i="2"/>
  <c r="R18" i="2"/>
  <c r="R19" i="2"/>
  <c r="U28" i="2"/>
  <c r="T38" i="2"/>
  <c r="R49" i="2"/>
  <c r="R50" i="2"/>
  <c r="T60" i="2"/>
  <c r="R69" i="2"/>
  <c r="R70" i="2"/>
  <c r="R100" i="2"/>
  <c r="R101" i="2"/>
  <c r="S18" i="2"/>
  <c r="S19" i="2"/>
  <c r="T29" i="2"/>
  <c r="S49" i="2"/>
  <c r="S50" i="2"/>
  <c r="S69" i="2"/>
  <c r="S70" i="2"/>
  <c r="U80" i="2"/>
  <c r="S100" i="2"/>
  <c r="S101" i="2"/>
</calcChain>
</file>

<file path=xl/sharedStrings.xml><?xml version="1.0" encoding="utf-8"?>
<sst xmlns="http://schemas.openxmlformats.org/spreadsheetml/2006/main" count="373" uniqueCount="60">
  <si>
    <t>2R cos Wt</t>
  </si>
  <si>
    <t>Plz</t>
  </si>
  <si>
    <t>9-27-19</t>
  </si>
  <si>
    <t>AVERAGE</t>
  </si>
  <si>
    <t>SE</t>
  </si>
  <si>
    <t>crCi WT</t>
  </si>
  <si>
    <t>crCiP(1-3)A</t>
  </si>
  <si>
    <t>crCi-S849A</t>
  </si>
  <si>
    <t>CrCi-∆1270-1370</t>
  </si>
  <si>
    <t>gCi-Wt</t>
  </si>
  <si>
    <t>gCi-S849A</t>
  </si>
  <si>
    <t>Disc 1</t>
  </si>
  <si>
    <t>clone 1</t>
  </si>
  <si>
    <t>clone 2</t>
  </si>
  <si>
    <t>clone 3</t>
  </si>
  <si>
    <t>Average</t>
  </si>
  <si>
    <t>Disc2</t>
  </si>
  <si>
    <t>Disc 3</t>
  </si>
  <si>
    <t>PKA Ant</t>
  </si>
  <si>
    <t>Clone</t>
  </si>
  <si>
    <t>PKA Clone</t>
  </si>
  <si>
    <t>AP Border</t>
  </si>
  <si>
    <t>Cos2 Ant</t>
  </si>
  <si>
    <t>Anterior</t>
  </si>
  <si>
    <t>SD</t>
  </si>
  <si>
    <t xml:space="preserve">Cos2 Clone </t>
  </si>
  <si>
    <t>clone R</t>
  </si>
  <si>
    <t>Ant R</t>
  </si>
  <si>
    <t>PKA Anterior SE</t>
  </si>
  <si>
    <t>PKA Clone SE</t>
  </si>
  <si>
    <t>Cos2  Anterior SE</t>
  </si>
  <si>
    <t>2R cos P(1-3)A</t>
  </si>
  <si>
    <t>Cos2 Clone SE</t>
  </si>
  <si>
    <t>2R cos Ci∆1270-1370</t>
  </si>
  <si>
    <t>AP correction of 67%</t>
  </si>
  <si>
    <t>Correction</t>
  </si>
  <si>
    <t>2R cos S849A</t>
  </si>
  <si>
    <t>Disc 2</t>
  </si>
  <si>
    <t>Wt</t>
  </si>
  <si>
    <t>cos2</t>
  </si>
  <si>
    <t>PKA</t>
  </si>
  <si>
    <t>40apka wt</t>
  </si>
  <si>
    <t>1-31-20</t>
  </si>
  <si>
    <t>pka</t>
  </si>
  <si>
    <t>40apka P(1-3)A</t>
  </si>
  <si>
    <t>2L PKA S849A</t>
  </si>
  <si>
    <t>Sd</t>
  </si>
  <si>
    <t>2L PKA 1270_1370</t>
  </si>
  <si>
    <t>2L PKA gCi-Wt</t>
  </si>
  <si>
    <t>P = 0.0026</t>
  </si>
  <si>
    <t>2L PKA gCi-S849A</t>
  </si>
  <si>
    <t>PKA Clone P</t>
  </si>
  <si>
    <t>Cos2 Clone P</t>
  </si>
  <si>
    <t>P &lt; 0.0001</t>
  </si>
  <si>
    <t>p=value</t>
  </si>
  <si>
    <t>P = 0.0076</t>
  </si>
  <si>
    <t>P = 0.3259</t>
  </si>
  <si>
    <t>P = 0.0220</t>
  </si>
  <si>
    <t>P = 0.4213</t>
  </si>
  <si>
    <t>P = 0.0607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</si>
</sst>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Arial"/>
      <family val="2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0" xfId="0" applyFont="1"/>
    <xf numFmtId="14" fontId="0" fillId="0" borderId="0" xfId="0" applyNumberFormat="1"/>
    <xf numFmtId="0" fontId="0" fillId="0" borderId="0" xfId="0" applyFont="1"/>
    <xf numFmtId="0" fontId="2" fillId="0" borderId="0" xfId="0" applyFont="1"/>
    <xf numFmtId="16" fontId="0" fillId="0" borderId="0" xfId="0" applyNumberFormat="1"/>
    <xf numFmtId="14" fontId="3" fillId="0" borderId="0" xfId="0" applyNumberFormat="1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0" fillId="0" borderId="0" xfId="0" applyFill="1"/>
    <xf numFmtId="0" fontId="4" fillId="0" borderId="0" xfId="0" applyFont="1" applyFill="1"/>
    <xf numFmtId="0" fontId="0" fillId="0" borderId="0" xfId="0" applyFont="1" applyFill="1"/>
    <xf numFmtId="0" fontId="3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tabSelected="1" workbookViewId="0">
      <selection activeCell="E21" sqref="E21"/>
    </sheetView>
  </sheetViews>
  <sheetFormatPr baseColWidth="10" defaultRowHeight="15" x14ac:dyDescent="0"/>
  <cols>
    <col min="1" max="1" width="15.33203125" customWidth="1"/>
  </cols>
  <sheetData>
    <row r="1" spans="1:19"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</row>
    <row r="2" spans="1:19">
      <c r="A2" s="4" t="s">
        <v>18</v>
      </c>
      <c r="B2">
        <v>0.37329364641342599</v>
      </c>
      <c r="C2">
        <v>0.29315803677500851</v>
      </c>
      <c r="D2">
        <v>0.57542511567573262</v>
      </c>
      <c r="E2">
        <v>0.30971108082294507</v>
      </c>
      <c r="F2">
        <v>0.17199146620436478</v>
      </c>
      <c r="G2" s="1">
        <v>0.29518139522132381</v>
      </c>
    </row>
    <row r="3" spans="1:19">
      <c r="A3" s="4" t="s">
        <v>20</v>
      </c>
      <c r="B3">
        <v>0.77773880003907825</v>
      </c>
      <c r="C3">
        <v>0.7527249942661004</v>
      </c>
      <c r="D3">
        <v>0.70935266799303309</v>
      </c>
      <c r="E3">
        <v>0.33808657618383697</v>
      </c>
      <c r="F3">
        <v>0.30871199935197258</v>
      </c>
      <c r="G3">
        <v>0.36783040953775831</v>
      </c>
    </row>
    <row r="4" spans="1:19">
      <c r="A4" s="4" t="s">
        <v>22</v>
      </c>
      <c r="B4">
        <v>0.20734583098339263</v>
      </c>
      <c r="C4">
        <v>0.27000548047856054</v>
      </c>
      <c r="D4">
        <v>0.49536362230201342</v>
      </c>
      <c r="E4">
        <v>0.34980953184535496</v>
      </c>
    </row>
    <row r="5" spans="1:19">
      <c r="A5" s="4" t="s">
        <v>25</v>
      </c>
      <c r="B5" s="3">
        <v>0.48501005200000002</v>
      </c>
      <c r="C5">
        <v>0.50382041547015488</v>
      </c>
      <c r="D5">
        <v>0.54256558535061372</v>
      </c>
      <c r="E5">
        <v>0.42161945955957214</v>
      </c>
      <c r="P5" s="3"/>
      <c r="R5" s="3"/>
    </row>
    <row r="6" spans="1:19">
      <c r="P6" s="3"/>
    </row>
    <row r="7" spans="1:19">
      <c r="A7" s="9" t="s">
        <v>28</v>
      </c>
      <c r="B7">
        <v>3.8649030911559031E-2</v>
      </c>
      <c r="C7">
        <v>3.2838005935001559E-2</v>
      </c>
      <c r="D7">
        <v>8.1479873572852454E-3</v>
      </c>
      <c r="E7" s="1">
        <v>2.3899081734554795E-2</v>
      </c>
      <c r="F7">
        <v>9.2855620392114525E-3</v>
      </c>
      <c r="G7" s="1">
        <v>2.3517418848052377E-2</v>
      </c>
    </row>
    <row r="8" spans="1:19">
      <c r="A8" s="9" t="s">
        <v>29</v>
      </c>
      <c r="B8">
        <v>4.1641965041835628E-2</v>
      </c>
      <c r="C8">
        <v>4.1361568346216342E-2</v>
      </c>
      <c r="D8">
        <v>6.9030464258855756E-2</v>
      </c>
      <c r="E8">
        <v>2.4941127524116497E-2</v>
      </c>
      <c r="F8">
        <v>1.9059649763837741E-2</v>
      </c>
      <c r="G8">
        <v>2.7261219104220528E-2</v>
      </c>
    </row>
    <row r="9" spans="1:19">
      <c r="A9" s="9" t="s">
        <v>30</v>
      </c>
      <c r="B9">
        <v>1.1709389209710685E-2</v>
      </c>
      <c r="C9" s="3">
        <v>3.1493117779880626E-2</v>
      </c>
      <c r="D9">
        <v>2.1031589908638942E-2</v>
      </c>
      <c r="E9">
        <v>1.3998520443979617E-2</v>
      </c>
    </row>
    <row r="10" spans="1:19">
      <c r="A10" s="9" t="s">
        <v>32</v>
      </c>
      <c r="B10">
        <v>3.6419975841659541E-2</v>
      </c>
      <c r="C10">
        <v>3.4304503009855755E-2</v>
      </c>
      <c r="D10">
        <v>6.7757814403422989E-2</v>
      </c>
      <c r="E10">
        <v>1.6365350196990494E-2</v>
      </c>
    </row>
    <row r="13" spans="1:19">
      <c r="A13" t="s">
        <v>51</v>
      </c>
      <c r="B13" s="13" t="s">
        <v>53</v>
      </c>
      <c r="C13" s="12" t="s">
        <v>57</v>
      </c>
      <c r="D13" s="13" t="s">
        <v>53</v>
      </c>
      <c r="E13" s="13">
        <v>0.42130000000000001</v>
      </c>
      <c r="F13" s="13" t="s">
        <v>53</v>
      </c>
      <c r="G13" s="13" t="s">
        <v>59</v>
      </c>
      <c r="M13" s="8"/>
      <c r="S13" s="3"/>
    </row>
    <row r="14" spans="1:19">
      <c r="B14" s="12"/>
      <c r="C14" s="12"/>
      <c r="D14" s="12"/>
      <c r="E14" s="12"/>
      <c r="F14" s="12"/>
      <c r="G14" s="12"/>
    </row>
    <row r="15" spans="1:19">
      <c r="A15" t="s">
        <v>52</v>
      </c>
      <c r="B15" s="13" t="s">
        <v>53</v>
      </c>
      <c r="C15" s="13" t="s">
        <v>56</v>
      </c>
      <c r="D15" s="13" t="s">
        <v>53</v>
      </c>
      <c r="E15" s="13" t="s">
        <v>55</v>
      </c>
      <c r="F15" s="12"/>
      <c r="G15" s="12"/>
    </row>
    <row r="18" spans="1:21" ht="18">
      <c r="A18" s="10"/>
      <c r="B18" s="11"/>
      <c r="C18" s="10"/>
      <c r="D18" s="11"/>
      <c r="E18" s="11"/>
      <c r="F18" s="11"/>
      <c r="G18" s="11"/>
    </row>
    <row r="19" spans="1:21" ht="18">
      <c r="A19" s="10"/>
      <c r="B19" s="10"/>
      <c r="C19" s="10"/>
      <c r="D19" s="10"/>
      <c r="E19" s="10"/>
      <c r="F19" s="10"/>
      <c r="G19" s="11"/>
    </row>
    <row r="20" spans="1:21" ht="18">
      <c r="A20" s="10"/>
      <c r="B20" s="11"/>
      <c r="C20" s="11"/>
      <c r="D20" s="11"/>
      <c r="E20" s="11"/>
      <c r="F20" s="10"/>
      <c r="G20" s="10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4" spans="1:21">
      <c r="B24" s="4"/>
      <c r="C24" s="4"/>
      <c r="D24" s="4"/>
      <c r="E24" s="4"/>
      <c r="F24" s="4"/>
      <c r="G24" s="4"/>
    </row>
    <row r="25" spans="1:21">
      <c r="A25" s="4"/>
      <c r="G25" s="1"/>
    </row>
    <row r="26" spans="1:21">
      <c r="A26" s="4"/>
    </row>
    <row r="27" spans="1:21">
      <c r="A27" s="4"/>
    </row>
    <row r="28" spans="1:21">
      <c r="A28" s="4"/>
      <c r="B28" s="3"/>
    </row>
    <row r="30" spans="1:21">
      <c r="A30" s="9"/>
      <c r="E30" s="1"/>
      <c r="G30" s="1"/>
    </row>
    <row r="31" spans="1:21">
      <c r="A31" s="9"/>
    </row>
    <row r="32" spans="1:21">
      <c r="A32" s="9"/>
      <c r="C32" s="3"/>
    </row>
    <row r="33" spans="1:7">
      <c r="A33" s="9"/>
    </row>
    <row r="36" spans="1:7">
      <c r="B36" s="1"/>
      <c r="C36" s="1"/>
      <c r="D36" s="1"/>
      <c r="E36" s="1"/>
      <c r="F36" s="1"/>
      <c r="G36" s="1"/>
    </row>
    <row r="37" spans="1:7">
      <c r="B37" s="3"/>
      <c r="C37" s="3"/>
      <c r="D37" s="3"/>
      <c r="E37" s="3"/>
      <c r="F37" s="3"/>
      <c r="G37" s="3"/>
    </row>
    <row r="38" spans="1:7">
      <c r="B38" s="1"/>
      <c r="C38" s="1"/>
      <c r="D38" s="1"/>
      <c r="E38" s="1"/>
      <c r="F38" s="3"/>
      <c r="G38" s="3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1"/>
  <sheetViews>
    <sheetView topLeftCell="A62" workbookViewId="0">
      <selection activeCell="W104" sqref="W104"/>
    </sheetView>
  </sheetViews>
  <sheetFormatPr baseColWidth="10" defaultRowHeight="15" x14ac:dyDescent="0"/>
  <sheetData>
    <row r="1" spans="1:28">
      <c r="A1" t="s">
        <v>0</v>
      </c>
    </row>
    <row r="2" spans="1:28">
      <c r="A2" s="1"/>
      <c r="B2" s="1" t="s">
        <v>1</v>
      </c>
      <c r="C2" s="1"/>
      <c r="D2" s="1"/>
      <c r="G2" s="1"/>
      <c r="H2" s="1"/>
      <c r="I2" s="1"/>
      <c r="J2" s="1"/>
      <c r="M2" s="1"/>
      <c r="N2" s="1"/>
      <c r="O2" s="1"/>
      <c r="P2" s="1"/>
    </row>
    <row r="3" spans="1:28">
      <c r="A3" s="2">
        <v>43529</v>
      </c>
      <c r="M3" t="s">
        <v>2</v>
      </c>
      <c r="R3" t="s">
        <v>3</v>
      </c>
      <c r="S3" t="s">
        <v>4</v>
      </c>
      <c r="W3" t="s">
        <v>5</v>
      </c>
      <c r="X3" t="s">
        <v>6</v>
      </c>
      <c r="Y3" t="s">
        <v>7</v>
      </c>
      <c r="Z3" t="s">
        <v>8</v>
      </c>
      <c r="AA3" t="s">
        <v>9</v>
      </c>
      <c r="AB3" t="s">
        <v>10</v>
      </c>
    </row>
    <row r="4" spans="1:28">
      <c r="A4" t="s">
        <v>11</v>
      </c>
      <c r="B4" t="s">
        <v>12</v>
      </c>
      <c r="C4" t="s">
        <v>13</v>
      </c>
      <c r="D4" t="s">
        <v>14</v>
      </c>
      <c r="E4" t="s">
        <v>15</v>
      </c>
      <c r="G4" s="1" t="s">
        <v>16</v>
      </c>
      <c r="H4" t="s">
        <v>12</v>
      </c>
      <c r="I4" t="s">
        <v>13</v>
      </c>
      <c r="J4" t="s">
        <v>14</v>
      </c>
      <c r="M4" s="1" t="s">
        <v>17</v>
      </c>
      <c r="N4" t="s">
        <v>12</v>
      </c>
      <c r="O4" t="s">
        <v>13</v>
      </c>
      <c r="P4" t="s">
        <v>14</v>
      </c>
      <c r="Q4" t="s">
        <v>15</v>
      </c>
      <c r="V4" t="s">
        <v>18</v>
      </c>
      <c r="W4">
        <v>0.37329364641342599</v>
      </c>
      <c r="X4">
        <v>0.29315803677500851</v>
      </c>
      <c r="Y4">
        <v>0.57542511567573262</v>
      </c>
      <c r="Z4">
        <v>0.30971108082294507</v>
      </c>
      <c r="AA4">
        <v>0.17199146620436478</v>
      </c>
      <c r="AB4" s="1">
        <v>0.29518139522132381</v>
      </c>
    </row>
    <row r="5" spans="1:28">
      <c r="A5" t="s">
        <v>19</v>
      </c>
      <c r="B5">
        <v>41.055999999999997</v>
      </c>
      <c r="C5">
        <v>34.765000000000001</v>
      </c>
      <c r="D5">
        <v>38.042999999999999</v>
      </c>
      <c r="G5" t="s">
        <v>19</v>
      </c>
      <c r="H5">
        <v>1212.55</v>
      </c>
      <c r="I5">
        <v>1116.905</v>
      </c>
      <c r="J5">
        <v>1292.5119999999999</v>
      </c>
      <c r="M5" t="s">
        <v>19</v>
      </c>
      <c r="N5">
        <v>898.54600000000005</v>
      </c>
      <c r="O5">
        <v>690.23800000000006</v>
      </c>
      <c r="P5">
        <v>1140.77</v>
      </c>
      <c r="V5" t="s">
        <v>20</v>
      </c>
      <c r="W5">
        <v>0.77773880003907803</v>
      </c>
      <c r="X5">
        <v>0.7527249942661004</v>
      </c>
      <c r="Y5">
        <v>0.70935266799303309</v>
      </c>
      <c r="Z5">
        <v>0.33808657618383697</v>
      </c>
      <c r="AA5">
        <v>0.30871199935197258</v>
      </c>
      <c r="AB5">
        <v>0.36783040953775831</v>
      </c>
    </row>
    <row r="6" spans="1:28">
      <c r="A6" t="s">
        <v>21</v>
      </c>
      <c r="B6">
        <v>106.574</v>
      </c>
      <c r="C6">
        <v>107.458</v>
      </c>
      <c r="D6">
        <v>90.174000000000007</v>
      </c>
      <c r="E6">
        <f>AVERAGE(B6:D6)</f>
        <v>101.402</v>
      </c>
      <c r="G6" t="s">
        <v>21</v>
      </c>
      <c r="H6">
        <v>2086.3539999999998</v>
      </c>
      <c r="I6">
        <v>2474.569</v>
      </c>
      <c r="J6">
        <v>2060.7910000000002</v>
      </c>
      <c r="K6">
        <f>AVERAGE(H6:J6)</f>
        <v>2207.2379999999998</v>
      </c>
      <c r="M6" t="s">
        <v>21</v>
      </c>
      <c r="N6">
        <v>1542.356</v>
      </c>
      <c r="O6">
        <v>1663.9970000000001</v>
      </c>
      <c r="P6">
        <v>1907.8610000000001</v>
      </c>
      <c r="Q6">
        <f>AVERAGE(N6:P6)</f>
        <v>1704.7380000000001</v>
      </c>
      <c r="V6" t="s">
        <v>22</v>
      </c>
      <c r="W6">
        <v>0.20734583098339263</v>
      </c>
      <c r="X6">
        <v>0.27000548047856054</v>
      </c>
      <c r="Y6">
        <v>0.49536362230201342</v>
      </c>
      <c r="Z6">
        <v>0.34980953184535496</v>
      </c>
    </row>
    <row r="7" spans="1:28">
      <c r="A7" t="s">
        <v>23</v>
      </c>
      <c r="B7">
        <v>17.068000000000001</v>
      </c>
      <c r="C7">
        <v>15.099</v>
      </c>
      <c r="D7">
        <v>19.327000000000002</v>
      </c>
      <c r="E7">
        <f t="shared" ref="E7" si="0">AVERAGE(B7:D7)</f>
        <v>17.164666666666665</v>
      </c>
      <c r="G7" t="s">
        <v>23</v>
      </c>
      <c r="H7">
        <v>482.93700000000001</v>
      </c>
      <c r="I7">
        <v>548.97400000000005</v>
      </c>
      <c r="J7">
        <v>510.56599999999997</v>
      </c>
      <c r="K7">
        <f t="shared" ref="K7" si="1">AVERAGE(H7:J7)</f>
        <v>514.15899999999999</v>
      </c>
      <c r="M7" t="s">
        <v>23</v>
      </c>
      <c r="N7">
        <v>351.952</v>
      </c>
      <c r="O7">
        <v>339.38600000000002</v>
      </c>
      <c r="P7">
        <v>432.815</v>
      </c>
      <c r="Q7">
        <f t="shared" ref="Q7" si="2">AVERAGE(N7:P7)</f>
        <v>374.71766666666667</v>
      </c>
      <c r="R7" t="s">
        <v>15</v>
      </c>
      <c r="S7" t="s">
        <v>4</v>
      </c>
      <c r="T7" t="s">
        <v>24</v>
      </c>
      <c r="V7" t="s">
        <v>25</v>
      </c>
      <c r="W7" s="3">
        <v>0.48501005200000002</v>
      </c>
      <c r="X7">
        <v>0.50382041547015488</v>
      </c>
      <c r="Y7">
        <v>0.54256558535061372</v>
      </c>
      <c r="Z7">
        <v>0.42161945955957214</v>
      </c>
    </row>
    <row r="8" spans="1:28">
      <c r="A8" t="s">
        <v>26</v>
      </c>
      <c r="B8">
        <f>B5/101.4</f>
        <v>0.40489151873767254</v>
      </c>
      <c r="C8">
        <f t="shared" ref="C8:D8" si="3">C5/101.4</f>
        <v>0.34285009861932936</v>
      </c>
      <c r="D8">
        <f t="shared" si="3"/>
        <v>0.3751775147928994</v>
      </c>
      <c r="H8">
        <f>H5/2207.2</f>
        <v>0.54936118158753178</v>
      </c>
      <c r="I8">
        <f t="shared" ref="I8:J8" si="4">I5/2207.2</f>
        <v>0.50602799927509967</v>
      </c>
      <c r="J8">
        <f t="shared" si="4"/>
        <v>0.58558898151504168</v>
      </c>
      <c r="N8">
        <f>N5/1704.7</f>
        <v>0.52709919633953195</v>
      </c>
      <c r="O8">
        <f t="shared" ref="O8:P8" si="5">O5/1704.7</f>
        <v>0.40490291546899748</v>
      </c>
      <c r="P8">
        <f t="shared" si="5"/>
        <v>0.66919106001055906</v>
      </c>
      <c r="R8">
        <f>AVERAGE(B8:Q8)</f>
        <v>0.48501005181629586</v>
      </c>
      <c r="S8">
        <f>STDEV(B8:P8)/3</f>
        <v>3.6419975841659541E-2</v>
      </c>
      <c r="T8">
        <f>STDEV(B8:P8)</f>
        <v>0.10925992752497862</v>
      </c>
    </row>
    <row r="9" spans="1:28">
      <c r="A9" t="s">
        <v>27</v>
      </c>
      <c r="B9">
        <f>B7/101.4</f>
        <v>0.16832347140039447</v>
      </c>
      <c r="C9">
        <f t="shared" ref="C9:D9" si="6">C7/101.4</f>
        <v>0.14890532544378698</v>
      </c>
      <c r="D9">
        <f t="shared" si="6"/>
        <v>0.19060157790927024</v>
      </c>
      <c r="E9" s="4"/>
      <c r="H9">
        <f>H7/2207.2</f>
        <v>0.21880074302283439</v>
      </c>
      <c r="I9">
        <f t="shared" ref="I9:J9" si="7">I7/2207.2</f>
        <v>0.24871964479884021</v>
      </c>
      <c r="J9">
        <f t="shared" si="7"/>
        <v>0.23131841246828561</v>
      </c>
      <c r="K9" s="4"/>
      <c r="N9" s="3">
        <f>N7/1704.7</f>
        <v>0.2064597876459201</v>
      </c>
      <c r="O9" s="3">
        <f t="shared" ref="O9:P9" si="8">O7/1704.7</f>
        <v>0.19908840265149294</v>
      </c>
      <c r="P9" s="3">
        <f t="shared" si="8"/>
        <v>0.25389511350970845</v>
      </c>
      <c r="Q9" s="4"/>
      <c r="R9">
        <f>AVERAGE(B9:Q9)</f>
        <v>0.20734583098339263</v>
      </c>
      <c r="S9">
        <f>STDEV(B9:P9)/3</f>
        <v>1.1709389209710685E-2</v>
      </c>
      <c r="T9">
        <f>STDEV(B9:P9)</f>
        <v>3.5128167629132054E-2</v>
      </c>
      <c r="V9" t="s">
        <v>28</v>
      </c>
      <c r="W9">
        <v>3.8649030911559003E-2</v>
      </c>
      <c r="X9">
        <v>3.2838005935001559E-2</v>
      </c>
      <c r="Y9">
        <v>8.1479873572852454E-3</v>
      </c>
      <c r="Z9" s="1">
        <v>2.3899081734554795E-2</v>
      </c>
      <c r="AA9">
        <v>9.2855620392114525E-3</v>
      </c>
      <c r="AB9" s="1">
        <v>2.3517418848052377E-2</v>
      </c>
    </row>
    <row r="10" spans="1:28">
      <c r="V10" t="s">
        <v>29</v>
      </c>
      <c r="W10">
        <v>4.1641965041835628E-2</v>
      </c>
      <c r="X10">
        <v>4.1361568346216342E-2</v>
      </c>
      <c r="Y10">
        <v>6.9030464258855756E-2</v>
      </c>
      <c r="Z10">
        <v>2.4941127524116497E-2</v>
      </c>
      <c r="AA10">
        <v>1.9059649763837741E-2</v>
      </c>
      <c r="AB10">
        <v>2.7261219104220528E-2</v>
      </c>
    </row>
    <row r="11" spans="1:28" ht="18">
      <c r="R11" t="s">
        <v>54</v>
      </c>
      <c r="S11" s="7" t="s">
        <v>53</v>
      </c>
      <c r="V11" t="s">
        <v>30</v>
      </c>
      <c r="W11">
        <v>1.1709389209710685E-2</v>
      </c>
      <c r="X11" s="3">
        <v>3.1493117779880626E-2</v>
      </c>
      <c r="Y11">
        <v>2.1031589908638942E-2</v>
      </c>
      <c r="Z11">
        <v>1.3998520443979617E-2</v>
      </c>
    </row>
    <row r="12" spans="1:28">
      <c r="A12" s="1" t="s">
        <v>31</v>
      </c>
      <c r="B12" s="5"/>
      <c r="C12" s="2"/>
      <c r="V12" t="s">
        <v>32</v>
      </c>
      <c r="W12">
        <v>3.6419975841659541E-2</v>
      </c>
      <c r="X12">
        <v>3.4304503009855755E-2</v>
      </c>
      <c r="Y12">
        <v>6.7757814403422989E-2</v>
      </c>
      <c r="Z12">
        <v>1.6365350196990494E-2</v>
      </c>
    </row>
    <row r="13" spans="1:28">
      <c r="A13" s="2">
        <v>43529</v>
      </c>
      <c r="M13" t="s">
        <v>2</v>
      </c>
    </row>
    <row r="14" spans="1:28">
      <c r="A14" t="s">
        <v>11</v>
      </c>
      <c r="B14" t="s">
        <v>12</v>
      </c>
      <c r="C14" t="s">
        <v>13</v>
      </c>
      <c r="D14" t="s">
        <v>14</v>
      </c>
      <c r="E14" t="s">
        <v>15</v>
      </c>
      <c r="G14" s="1" t="s">
        <v>16</v>
      </c>
      <c r="H14" t="s">
        <v>12</v>
      </c>
      <c r="I14" t="s">
        <v>13</v>
      </c>
      <c r="J14" t="s">
        <v>14</v>
      </c>
      <c r="M14" s="1" t="s">
        <v>17</v>
      </c>
      <c r="N14" t="s">
        <v>12</v>
      </c>
      <c r="O14" t="s">
        <v>13</v>
      </c>
      <c r="P14" t="s">
        <v>14</v>
      </c>
      <c r="Q14" t="s">
        <v>15</v>
      </c>
      <c r="X14" s="3"/>
    </row>
    <row r="15" spans="1:28">
      <c r="A15" t="s">
        <v>19</v>
      </c>
      <c r="B15">
        <v>65.825999999999993</v>
      </c>
      <c r="C15">
        <v>66.671000000000006</v>
      </c>
      <c r="D15">
        <v>58.069000000000003</v>
      </c>
      <c r="G15" t="s">
        <v>19</v>
      </c>
      <c r="H15">
        <v>85.462000000000003</v>
      </c>
      <c r="I15">
        <v>97.646000000000001</v>
      </c>
      <c r="J15">
        <v>101.083</v>
      </c>
      <c r="M15" t="s">
        <v>19</v>
      </c>
      <c r="N15">
        <v>86.233999999999995</v>
      </c>
      <c r="O15">
        <v>78.510000000000005</v>
      </c>
      <c r="P15">
        <v>87.165000000000006</v>
      </c>
    </row>
    <row r="16" spans="1:28">
      <c r="A16" t="s">
        <v>21</v>
      </c>
      <c r="B16">
        <v>165.31200000000001</v>
      </c>
      <c r="C16">
        <v>140.21799999999999</v>
      </c>
      <c r="D16">
        <v>143.17400000000001</v>
      </c>
      <c r="E16">
        <f>AVERAGE(B16:D16)</f>
        <v>149.56799999999998</v>
      </c>
      <c r="G16" t="s">
        <v>21</v>
      </c>
      <c r="H16">
        <v>188.43799999999999</v>
      </c>
      <c r="I16">
        <v>173.03399999999999</v>
      </c>
      <c r="J16">
        <v>157.375</v>
      </c>
      <c r="K16">
        <f>AVERAGE(H16:J16)</f>
        <v>172.94899999999998</v>
      </c>
      <c r="M16" t="s">
        <v>21</v>
      </c>
      <c r="N16">
        <v>151.87899999999999</v>
      </c>
      <c r="O16">
        <v>155.11500000000001</v>
      </c>
      <c r="P16">
        <v>160.43700000000001</v>
      </c>
      <c r="Q16">
        <f>AVERAGE(N16:P16)</f>
        <v>155.81033333333335</v>
      </c>
    </row>
    <row r="17" spans="1:31">
      <c r="A17" t="s">
        <v>23</v>
      </c>
      <c r="B17">
        <v>35.073999999999998</v>
      </c>
      <c r="C17">
        <v>34.883000000000003</v>
      </c>
      <c r="D17">
        <v>27.390999999999998</v>
      </c>
      <c r="E17">
        <f t="shared" ref="E17" si="9">AVERAGE(B17:D17)</f>
        <v>32.449333333333328</v>
      </c>
      <c r="G17" t="s">
        <v>23</v>
      </c>
      <c r="H17">
        <v>37.76</v>
      </c>
      <c r="I17">
        <v>41.795000000000002</v>
      </c>
      <c r="J17">
        <v>49.854999999999997</v>
      </c>
      <c r="K17">
        <f t="shared" ref="K17" si="10">AVERAGE(H17:J17)</f>
        <v>43.136666666666663</v>
      </c>
      <c r="M17" t="s">
        <v>23</v>
      </c>
      <c r="N17">
        <v>57.113999999999997</v>
      </c>
      <c r="O17">
        <v>54.911999999999999</v>
      </c>
      <c r="P17">
        <v>48.582000000000001</v>
      </c>
      <c r="Q17">
        <f t="shared" ref="Q17" si="11">AVERAGE(N17:P17)</f>
        <v>53.536000000000001</v>
      </c>
      <c r="R17" t="s">
        <v>15</v>
      </c>
      <c r="S17" t="s">
        <v>4</v>
      </c>
      <c r="T17" t="s">
        <v>24</v>
      </c>
      <c r="U17" s="1"/>
      <c r="V17" s="1"/>
      <c r="W17" s="1"/>
      <c r="AA17" s="1"/>
      <c r="AB17" s="1"/>
      <c r="AC17" s="1"/>
      <c r="AE17" s="1"/>
    </row>
    <row r="18" spans="1:31">
      <c r="A18" t="s">
        <v>26</v>
      </c>
      <c r="B18">
        <f>B15/149.6</f>
        <v>0.44001336898395721</v>
      </c>
      <c r="C18">
        <f t="shared" ref="C18:D18" si="12">C15/149.6</f>
        <v>0.44566176470588242</v>
      </c>
      <c r="D18">
        <f t="shared" si="12"/>
        <v>0.38816176470588237</v>
      </c>
      <c r="H18">
        <f>H15/172.9</f>
        <v>0.49428571428571427</v>
      </c>
      <c r="I18">
        <f t="shared" ref="I18:J18" si="13">I15/172.9</f>
        <v>0.56475419317524578</v>
      </c>
      <c r="J18">
        <f t="shared" si="13"/>
        <v>0.58463273568536722</v>
      </c>
      <c r="N18">
        <f>N15/155.8</f>
        <v>0.55349165596919114</v>
      </c>
      <c r="O18">
        <f t="shared" ref="O18:P18" si="14">O15/155.8</f>
        <v>0.50391527599486519</v>
      </c>
      <c r="P18">
        <f t="shared" si="14"/>
        <v>0.55946726572528882</v>
      </c>
      <c r="R18">
        <f>AVERAGE(B18:Q18)</f>
        <v>0.50382041547015488</v>
      </c>
      <c r="S18">
        <f>STDEV(B18:P18)</f>
        <v>6.7757814403422989E-2</v>
      </c>
      <c r="T18">
        <f>STDEV(B18:P18)</f>
        <v>6.7757814403422989E-2</v>
      </c>
    </row>
    <row r="19" spans="1:31">
      <c r="A19" t="s">
        <v>27</v>
      </c>
      <c r="B19">
        <f>B17/149.6</f>
        <v>0.234451871657754</v>
      </c>
      <c r="C19">
        <f t="shared" ref="C19:D19" si="15">C17/149.6</f>
        <v>0.23317513368983961</v>
      </c>
      <c r="D19">
        <f t="shared" si="15"/>
        <v>0.18309491978609624</v>
      </c>
      <c r="E19" s="4"/>
      <c r="H19">
        <f>H17/172.9</f>
        <v>0.21839213418160786</v>
      </c>
      <c r="I19">
        <f t="shared" ref="I19:J19" si="16">I17/172.9</f>
        <v>0.24172932330827068</v>
      </c>
      <c r="J19">
        <f t="shared" si="16"/>
        <v>0.28834586466165413</v>
      </c>
      <c r="K19" s="4"/>
      <c r="N19" s="3">
        <f>N17/155.8</f>
        <v>0.36658536585365847</v>
      </c>
      <c r="O19" s="3">
        <f t="shared" ref="O19:P19" si="17">O17/155.8</f>
        <v>0.35245186136071882</v>
      </c>
      <c r="P19" s="3">
        <f t="shared" si="17"/>
        <v>0.3118228498074454</v>
      </c>
      <c r="Q19" s="4"/>
      <c r="R19">
        <f>AVERAGE(B19:Q19)</f>
        <v>0.27000548047856054</v>
      </c>
      <c r="S19">
        <f>STDEV(B19:P19)/3</f>
        <v>2.1031589908638942E-2</v>
      </c>
      <c r="T19">
        <f>STDEV(B19:P19)</f>
        <v>6.3094769725916822E-2</v>
      </c>
    </row>
    <row r="21" spans="1:31" ht="18">
      <c r="C21" s="2">
        <v>43685</v>
      </c>
      <c r="S21" s="7" t="s">
        <v>53</v>
      </c>
    </row>
    <row r="22" spans="1:31">
      <c r="A22" s="1" t="s">
        <v>33</v>
      </c>
      <c r="B22" s="5"/>
      <c r="C22" s="2"/>
    </row>
    <row r="23" spans="1:31">
      <c r="A23" s="2"/>
      <c r="S23" t="s">
        <v>34</v>
      </c>
    </row>
    <row r="24" spans="1:31">
      <c r="A24" t="s">
        <v>11</v>
      </c>
      <c r="B24" t="s">
        <v>12</v>
      </c>
      <c r="C24" t="s">
        <v>13</v>
      </c>
      <c r="D24" t="s">
        <v>14</v>
      </c>
      <c r="E24" t="s">
        <v>15</v>
      </c>
      <c r="G24" s="1" t="s">
        <v>16</v>
      </c>
      <c r="H24" t="s">
        <v>12</v>
      </c>
      <c r="I24" t="s">
        <v>13</v>
      </c>
      <c r="J24" t="s">
        <v>14</v>
      </c>
    </row>
    <row r="25" spans="1:31">
      <c r="A25" t="s">
        <v>19</v>
      </c>
      <c r="B25">
        <v>493.62400000000002</v>
      </c>
      <c r="C25">
        <v>475.18599999999998</v>
      </c>
      <c r="D25">
        <v>458.61099999999999</v>
      </c>
      <c r="G25" t="s">
        <v>19</v>
      </c>
      <c r="H25">
        <v>726.32399999999996</v>
      </c>
      <c r="I25">
        <v>782.88099999999997</v>
      </c>
      <c r="J25">
        <v>711.73599999999999</v>
      </c>
    </row>
    <row r="26" spans="1:31">
      <c r="A26" t="s">
        <v>21</v>
      </c>
      <c r="B26">
        <v>701.86900000000003</v>
      </c>
      <c r="C26">
        <v>892.83799999999997</v>
      </c>
      <c r="D26">
        <v>780.73400000000004</v>
      </c>
      <c r="E26">
        <f>AVERAGE(B26:D26)</f>
        <v>791.81366666666656</v>
      </c>
      <c r="G26" t="s">
        <v>21</v>
      </c>
      <c r="H26">
        <v>1160.6179999999999</v>
      </c>
      <c r="I26">
        <v>1116.1400000000001</v>
      </c>
      <c r="J26">
        <v>1100.2260000000001</v>
      </c>
      <c r="K26">
        <f>AVERAGE(H26:J26)</f>
        <v>1125.6613333333332</v>
      </c>
      <c r="X26" s="1"/>
      <c r="Y26" s="1"/>
      <c r="Z26" s="1"/>
      <c r="AE26" s="1"/>
    </row>
    <row r="27" spans="1:31">
      <c r="A27" t="s">
        <v>23</v>
      </c>
      <c r="B27">
        <v>406.72399999999999</v>
      </c>
      <c r="C27">
        <v>395.70299999999997</v>
      </c>
      <c r="D27">
        <v>388.09100000000001</v>
      </c>
      <c r="E27">
        <f t="shared" ref="E27" si="18">AVERAGE(B27:D27)</f>
        <v>396.83933333333334</v>
      </c>
      <c r="G27" t="s">
        <v>23</v>
      </c>
      <c r="H27">
        <v>659.63099999999997</v>
      </c>
      <c r="I27">
        <v>575.67499999999995</v>
      </c>
      <c r="J27">
        <v>598.53099999999995</v>
      </c>
      <c r="K27">
        <f t="shared" ref="K27" si="19">AVERAGE(H27:J27)</f>
        <v>611.279</v>
      </c>
      <c r="S27" t="s">
        <v>35</v>
      </c>
      <c r="T27" t="s">
        <v>4</v>
      </c>
      <c r="U27" t="s">
        <v>24</v>
      </c>
      <c r="X27" s="1"/>
      <c r="Y27" s="1"/>
      <c r="Z27" s="1"/>
      <c r="AD27" s="1"/>
      <c r="AE27" s="1"/>
    </row>
    <row r="28" spans="1:31">
      <c r="A28" t="s">
        <v>26</v>
      </c>
      <c r="B28">
        <f>B25/791.8</f>
        <v>0.62342005556958835</v>
      </c>
      <c r="C28">
        <f t="shared" ref="C28:D28" si="20">C25/791.8</f>
        <v>0.60013387218994696</v>
      </c>
      <c r="D28">
        <f t="shared" si="20"/>
        <v>0.5792005556958828</v>
      </c>
      <c r="H28">
        <f>H25/1125.7</f>
        <v>0.64521986319623337</v>
      </c>
      <c r="I28">
        <f t="shared" ref="I28:J28" si="21">I25/1125.7</f>
        <v>0.69546149062805362</v>
      </c>
      <c r="J28">
        <f t="shared" si="21"/>
        <v>0.6322608154925824</v>
      </c>
      <c r="Q28" s="1"/>
      <c r="R28">
        <f>AVERAGE(B28:Q28)</f>
        <v>0.62928277546204792</v>
      </c>
      <c r="S28">
        <f>0.67*R28</f>
        <v>0.42161945955957214</v>
      </c>
      <c r="T28">
        <f>STDEV(A28:P28)/SQRT(6)</f>
        <v>1.6365350196990494E-2</v>
      </c>
      <c r="U28">
        <f>STDEV(B28:Q28)</f>
        <v>4.0086757444582871E-2</v>
      </c>
      <c r="X28" s="1"/>
      <c r="Y28" s="1"/>
      <c r="Z28" s="1"/>
      <c r="AA28" s="1"/>
      <c r="AD28" s="1"/>
      <c r="AE28" s="1"/>
    </row>
    <row r="29" spans="1:31">
      <c r="A29" t="s">
        <v>27</v>
      </c>
      <c r="B29">
        <f>B27/791.8</f>
        <v>0.51367011871684776</v>
      </c>
      <c r="C29">
        <f t="shared" ref="C29:D29" si="22">C27/791.8</f>
        <v>0.49975119979792876</v>
      </c>
      <c r="D29">
        <f t="shared" si="22"/>
        <v>0.49013766102551154</v>
      </c>
      <c r="E29" s="4"/>
      <c r="H29">
        <f>H27/1125.7</f>
        <v>0.58597406058452517</v>
      </c>
      <c r="I29">
        <f t="shared" ref="I29:J29" si="23">I27/1125.7</f>
        <v>0.51139291107755169</v>
      </c>
      <c r="J29">
        <f t="shared" si="23"/>
        <v>0.53169672203961971</v>
      </c>
      <c r="K29" s="4"/>
      <c r="Q29" s="1"/>
      <c r="R29">
        <f>AVERAGE(B29:Q29)</f>
        <v>0.5221037788736641</v>
      </c>
      <c r="S29">
        <f>0.67*R29</f>
        <v>0.34980953184535496</v>
      </c>
      <c r="T29">
        <f>STDEV(A29:P29)/SQRT(6)</f>
        <v>1.3998520443979617E-2</v>
      </c>
      <c r="U29">
        <f>STDEV(B29:Q29)</f>
        <v>3.4289232241668688E-2</v>
      </c>
      <c r="X29" s="1"/>
      <c r="Y29" s="1"/>
      <c r="Z29" s="1"/>
      <c r="AA29" s="1"/>
      <c r="AD29" s="1"/>
      <c r="AE29" s="1"/>
    </row>
    <row r="30" spans="1:31">
      <c r="X30" s="1"/>
      <c r="Y30" s="1"/>
      <c r="Z30" s="1"/>
      <c r="AA30" s="1"/>
      <c r="AD30" s="1"/>
      <c r="AE30" s="1"/>
    </row>
    <row r="31" spans="1:31" ht="18">
      <c r="A31" t="s">
        <v>36</v>
      </c>
      <c r="S31" s="7" t="s">
        <v>55</v>
      </c>
      <c r="X31" s="1"/>
      <c r="Y31" s="1"/>
      <c r="Z31" s="1"/>
      <c r="AA31" s="1"/>
      <c r="AD31" s="1"/>
    </row>
    <row r="32" spans="1:31">
      <c r="A32" s="1" t="s">
        <v>11</v>
      </c>
      <c r="B32" s="1" t="s">
        <v>1</v>
      </c>
      <c r="C32" s="1"/>
      <c r="D32" s="1"/>
      <c r="G32" s="1" t="s">
        <v>37</v>
      </c>
      <c r="H32" s="1" t="s">
        <v>1</v>
      </c>
      <c r="I32" s="1"/>
      <c r="J32" s="1"/>
      <c r="M32" s="1"/>
      <c r="N32" s="1"/>
      <c r="O32" s="1"/>
      <c r="P32" s="1"/>
      <c r="X32" s="1"/>
      <c r="Y32" s="1"/>
      <c r="Z32" s="1"/>
      <c r="AA32" s="1"/>
      <c r="AD32" s="1"/>
    </row>
    <row r="33" spans="1:30">
      <c r="B33" t="s">
        <v>38</v>
      </c>
      <c r="C33" t="s">
        <v>39</v>
      </c>
      <c r="H33" t="s">
        <v>38</v>
      </c>
      <c r="I33" t="s">
        <v>39</v>
      </c>
      <c r="N33" t="s">
        <v>38</v>
      </c>
      <c r="O33" t="s">
        <v>39</v>
      </c>
      <c r="X33" s="1"/>
      <c r="Z33" s="1"/>
      <c r="AA33" s="1"/>
    </row>
    <row r="34" spans="1:30">
      <c r="A34" t="s">
        <v>11</v>
      </c>
      <c r="B34" t="s">
        <v>12</v>
      </c>
      <c r="C34" t="s">
        <v>13</v>
      </c>
      <c r="D34" t="s">
        <v>14</v>
      </c>
      <c r="E34" t="s">
        <v>15</v>
      </c>
      <c r="G34" s="1" t="s">
        <v>16</v>
      </c>
      <c r="H34" t="s">
        <v>12</v>
      </c>
      <c r="I34" t="s">
        <v>13</v>
      </c>
      <c r="J34" t="s">
        <v>14</v>
      </c>
      <c r="M34" s="1" t="s">
        <v>17</v>
      </c>
      <c r="N34" t="s">
        <v>12</v>
      </c>
      <c r="O34" t="s">
        <v>13</v>
      </c>
      <c r="P34" t="s">
        <v>14</v>
      </c>
      <c r="Q34" t="s">
        <v>15</v>
      </c>
      <c r="Y34" s="1"/>
      <c r="AD34" s="1"/>
    </row>
    <row r="35" spans="1:30">
      <c r="A35" t="s">
        <v>19</v>
      </c>
      <c r="B35">
        <v>747.096</v>
      </c>
      <c r="C35">
        <v>700.42600000000004</v>
      </c>
      <c r="D35">
        <v>733.51300000000003</v>
      </c>
      <c r="G35" t="s">
        <v>19</v>
      </c>
      <c r="H35">
        <v>752.25699999999995</v>
      </c>
      <c r="I35">
        <v>804.16</v>
      </c>
      <c r="J35">
        <v>958.07</v>
      </c>
      <c r="M35" t="s">
        <v>19</v>
      </c>
      <c r="N35">
        <v>570.97900000000004</v>
      </c>
      <c r="O35">
        <v>716.10500000000002</v>
      </c>
      <c r="P35">
        <v>686.904</v>
      </c>
    </row>
    <row r="36" spans="1:30">
      <c r="A36" t="s">
        <v>21</v>
      </c>
      <c r="B36">
        <v>1157.6030000000001</v>
      </c>
      <c r="C36">
        <v>1260.9570000000001</v>
      </c>
      <c r="D36">
        <v>1169.817</v>
      </c>
      <c r="E36">
        <f>AVERAGE(B36:D36)</f>
        <v>1196.1256666666668</v>
      </c>
      <c r="G36" t="s">
        <v>21</v>
      </c>
      <c r="H36">
        <v>1633.479</v>
      </c>
      <c r="I36">
        <v>1451.3140000000001</v>
      </c>
      <c r="J36">
        <v>1109.6489999999999</v>
      </c>
      <c r="K36">
        <f>AVERAGE(H36:J36)</f>
        <v>1398.1473333333333</v>
      </c>
      <c r="M36" t="s">
        <v>21</v>
      </c>
      <c r="N36">
        <v>1777.64</v>
      </c>
      <c r="O36">
        <v>1416.396</v>
      </c>
      <c r="P36">
        <v>1502.809</v>
      </c>
      <c r="Q36">
        <f>AVERAGE(N36:P36)</f>
        <v>1565.615</v>
      </c>
      <c r="R36" s="1"/>
    </row>
    <row r="37" spans="1:30">
      <c r="A37" t="s">
        <v>23</v>
      </c>
      <c r="B37">
        <v>666.79499999999996</v>
      </c>
      <c r="C37">
        <v>712.10599999999999</v>
      </c>
      <c r="D37">
        <v>712.58699999999999</v>
      </c>
      <c r="E37">
        <f t="shared" ref="E37" si="24">AVERAGE(B37:D37)</f>
        <v>697.16266666666661</v>
      </c>
      <c r="G37" t="s">
        <v>23</v>
      </c>
      <c r="H37">
        <v>752.27099999999996</v>
      </c>
      <c r="I37">
        <v>651.87</v>
      </c>
      <c r="J37">
        <v>766.62800000000004</v>
      </c>
      <c r="K37">
        <f t="shared" ref="K37" si="25">AVERAGE(H37:J37)</f>
        <v>723.58966666666674</v>
      </c>
      <c r="M37" t="s">
        <v>23</v>
      </c>
      <c r="N37">
        <v>537.41700000000003</v>
      </c>
      <c r="O37">
        <v>574.88300000000004</v>
      </c>
      <c r="P37">
        <v>698.73800000000006</v>
      </c>
      <c r="Q37">
        <f t="shared" ref="Q37" si="26">AVERAGE(N37:P37)</f>
        <v>603.67933333333337</v>
      </c>
      <c r="R37" t="s">
        <v>15</v>
      </c>
      <c r="S37" t="s">
        <v>4</v>
      </c>
    </row>
    <row r="38" spans="1:30">
      <c r="A38" t="s">
        <v>26</v>
      </c>
      <c r="B38">
        <f>B35/1196</f>
        <v>0.62466220735785949</v>
      </c>
      <c r="C38">
        <f t="shared" ref="C38:D38" si="27">C35/1196</f>
        <v>0.58564046822742477</v>
      </c>
      <c r="D38">
        <f t="shared" si="27"/>
        <v>0.61330518394648836</v>
      </c>
      <c r="H38">
        <f>H35/1398</f>
        <v>0.5380951359084406</v>
      </c>
      <c r="I38">
        <f t="shared" ref="I38:J38" si="28">I35/1398</f>
        <v>0.57522174535050075</v>
      </c>
      <c r="J38">
        <f t="shared" si="28"/>
        <v>0.68531473533619458</v>
      </c>
      <c r="N38">
        <f>N35/1565.6</f>
        <v>0.36470298926928979</v>
      </c>
      <c r="O38">
        <f t="shared" ref="O38:P38" si="29">O35/1565.6</f>
        <v>0.45739971895758819</v>
      </c>
      <c r="P38">
        <f t="shared" si="29"/>
        <v>0.43874808380173735</v>
      </c>
      <c r="R38">
        <f>AVERAGE(B38:Q38)</f>
        <v>0.54256558535061372</v>
      </c>
      <c r="S38">
        <f>STDEV(B38:P38)/3</f>
        <v>3.4304503009855755E-2</v>
      </c>
      <c r="T38">
        <f>STDEV(B38:P38)</f>
        <v>0.10291350902956727</v>
      </c>
    </row>
    <row r="39" spans="1:30">
      <c r="A39" t="s">
        <v>27</v>
      </c>
      <c r="B39">
        <f>B37/1196</f>
        <v>0.55752090301003343</v>
      </c>
      <c r="C39">
        <f t="shared" ref="C39:D39" si="30">C37/1196</f>
        <v>0.5954063545150502</v>
      </c>
      <c r="D39">
        <f t="shared" si="30"/>
        <v>0.59580852842809362</v>
      </c>
      <c r="E39" s="4"/>
      <c r="H39">
        <f>H37/1398</f>
        <v>0.53810515021459226</v>
      </c>
      <c r="I39">
        <f t="shared" ref="I39:J39" si="31">I37/1398</f>
        <v>0.46628755364806868</v>
      </c>
      <c r="J39">
        <f t="shared" si="31"/>
        <v>0.54837482117310443</v>
      </c>
      <c r="K39" s="4"/>
      <c r="N39" s="3">
        <f>N37/1565.6</f>
        <v>0.34326584057230458</v>
      </c>
      <c r="O39" s="3">
        <f t="shared" ref="O39:P39" si="32">O37/1565.6</f>
        <v>0.36719660194174764</v>
      </c>
      <c r="P39" s="3">
        <f t="shared" si="32"/>
        <v>0.44630684721512526</v>
      </c>
      <c r="Q39" s="4"/>
      <c r="R39">
        <f>AVERAGE(B39:Q39)</f>
        <v>0.49536362230201342</v>
      </c>
      <c r="S39">
        <f>STDEV(B39:P39)/3</f>
        <v>3.1493117779880626E-2</v>
      </c>
      <c r="T39">
        <f>STDEV(B39:P39)</f>
        <v>9.4479353339641872E-2</v>
      </c>
    </row>
    <row r="41" spans="1:30" ht="18">
      <c r="A41" t="s">
        <v>40</v>
      </c>
      <c r="S41" s="7" t="s">
        <v>56</v>
      </c>
    </row>
    <row r="42" spans="1:30">
      <c r="A42" s="1" t="s">
        <v>41</v>
      </c>
      <c r="B42" t="s">
        <v>42</v>
      </c>
      <c r="C42" s="1"/>
      <c r="D42" s="1"/>
      <c r="E42" s="1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30">
      <c r="A43" s="1" t="s">
        <v>11</v>
      </c>
      <c r="B43" s="1" t="s">
        <v>1</v>
      </c>
      <c r="C43" s="1"/>
      <c r="D43" s="1"/>
      <c r="E43" s="1"/>
      <c r="F43" s="3"/>
      <c r="G43" s="1" t="s">
        <v>16</v>
      </c>
      <c r="H43" s="1" t="s">
        <v>1</v>
      </c>
      <c r="I43" s="2">
        <v>44137</v>
      </c>
      <c r="J43" s="1"/>
      <c r="K43" s="1"/>
      <c r="L43" s="3"/>
      <c r="M43" s="1" t="s">
        <v>17</v>
      </c>
      <c r="N43" s="1" t="s">
        <v>1</v>
      </c>
      <c r="O43" s="2">
        <v>43651</v>
      </c>
      <c r="P43" s="1"/>
    </row>
    <row r="44" spans="1:30">
      <c r="B44" t="s">
        <v>38</v>
      </c>
      <c r="C44" t="s">
        <v>43</v>
      </c>
      <c r="F44" s="3"/>
      <c r="H44" t="s">
        <v>38</v>
      </c>
      <c r="I44" t="s">
        <v>43</v>
      </c>
      <c r="L44" s="3"/>
      <c r="N44" t="s">
        <v>38</v>
      </c>
      <c r="O44" t="s">
        <v>43</v>
      </c>
    </row>
    <row r="45" spans="1:30">
      <c r="A45" t="s">
        <v>11</v>
      </c>
      <c r="B45" t="s">
        <v>12</v>
      </c>
      <c r="C45" t="s">
        <v>13</v>
      </c>
      <c r="D45" t="s">
        <v>14</v>
      </c>
      <c r="E45" t="s">
        <v>15</v>
      </c>
      <c r="F45" s="3"/>
      <c r="G45" s="1" t="s">
        <v>16</v>
      </c>
      <c r="H45" t="s">
        <v>12</v>
      </c>
      <c r="I45" t="s">
        <v>13</v>
      </c>
      <c r="J45" t="s">
        <v>14</v>
      </c>
      <c r="K45" t="s">
        <v>15</v>
      </c>
      <c r="L45" s="3"/>
      <c r="M45" s="1" t="s">
        <v>17</v>
      </c>
      <c r="N45" t="s">
        <v>12</v>
      </c>
      <c r="O45" t="s">
        <v>13</v>
      </c>
      <c r="P45" t="s">
        <v>14</v>
      </c>
      <c r="Q45" t="s">
        <v>15</v>
      </c>
    </row>
    <row r="46" spans="1:30">
      <c r="A46" t="s">
        <v>19</v>
      </c>
      <c r="B46">
        <v>1101.924</v>
      </c>
      <c r="C46">
        <v>1308.0540000000001</v>
      </c>
      <c r="D46">
        <v>1243.7239999999999</v>
      </c>
      <c r="F46" s="3"/>
      <c r="G46" t="s">
        <v>19</v>
      </c>
      <c r="H46">
        <v>1173.3119999999999</v>
      </c>
      <c r="I46">
        <v>674.68</v>
      </c>
      <c r="J46">
        <v>871.85400000000004</v>
      </c>
      <c r="L46" s="3"/>
      <c r="M46" t="s">
        <v>19</v>
      </c>
      <c r="N46">
        <v>43.938000000000002</v>
      </c>
      <c r="O46">
        <v>56.332999999999998</v>
      </c>
      <c r="P46">
        <v>47.930999999999997</v>
      </c>
    </row>
    <row r="47" spans="1:30">
      <c r="A47" t="s">
        <v>21</v>
      </c>
      <c r="B47">
        <v>1476.8430000000001</v>
      </c>
      <c r="C47">
        <v>1617.4490000000001</v>
      </c>
      <c r="D47">
        <v>1390.1780000000001</v>
      </c>
      <c r="E47">
        <f>AVERAGE(B47:D47)</f>
        <v>1494.8233333333335</v>
      </c>
      <c r="F47" s="3"/>
      <c r="G47" t="s">
        <v>21</v>
      </c>
      <c r="H47">
        <v>1400.134</v>
      </c>
      <c r="I47">
        <v>1064.1990000000001</v>
      </c>
      <c r="J47">
        <v>1089.193</v>
      </c>
      <c r="K47">
        <f>AVERAGE(H47:J47)</f>
        <v>1184.5086666666666</v>
      </c>
      <c r="L47" s="3"/>
      <c r="M47" t="s">
        <v>21</v>
      </c>
      <c r="N47">
        <v>65.924000000000007</v>
      </c>
      <c r="O47">
        <v>67.072000000000003</v>
      </c>
      <c r="P47">
        <v>63.884999999999998</v>
      </c>
      <c r="Q47">
        <f>AVERAGE(N47:P47)</f>
        <v>65.626999999999995</v>
      </c>
      <c r="R47" s="1"/>
      <c r="S47" s="1"/>
      <c r="T47" s="2"/>
      <c r="U47" s="1"/>
    </row>
    <row r="48" spans="1:30">
      <c r="A48" t="s">
        <v>23</v>
      </c>
      <c r="B48">
        <v>488.09100000000001</v>
      </c>
      <c r="C48">
        <v>474.53500000000003</v>
      </c>
      <c r="D48">
        <v>495.64800000000002</v>
      </c>
      <c r="E48">
        <f t="shared" ref="E48" si="33">AVERAGE(B48:D48)</f>
        <v>486.0913333333333</v>
      </c>
      <c r="F48" s="3"/>
      <c r="G48" t="s">
        <v>23</v>
      </c>
      <c r="H48">
        <v>302.37900000000002</v>
      </c>
      <c r="I48">
        <v>338.39299999999997</v>
      </c>
      <c r="J48">
        <v>323.30500000000001</v>
      </c>
      <c r="K48">
        <f t="shared" ref="K48" si="34">AVERAGE(H48:J48)</f>
        <v>321.35899999999998</v>
      </c>
      <c r="L48" s="3"/>
      <c r="M48" t="s">
        <v>23</v>
      </c>
      <c r="N48">
        <v>32.774000000000001</v>
      </c>
      <c r="O48">
        <v>36.04</v>
      </c>
      <c r="P48">
        <v>34.189</v>
      </c>
      <c r="Q48">
        <f t="shared" ref="Q48" si="35">AVERAGE(N48:P48)</f>
        <v>34.334333333333326</v>
      </c>
      <c r="R48" t="s">
        <v>15</v>
      </c>
      <c r="S48" t="s">
        <v>4</v>
      </c>
    </row>
    <row r="49" spans="1:21">
      <c r="A49" t="s">
        <v>26</v>
      </c>
      <c r="B49" s="1">
        <f>B46/1494.8</f>
        <v>0.73717152796360719</v>
      </c>
      <c r="C49" s="1">
        <f t="shared" ref="C49:D49" si="36">C46/1494.8</f>
        <v>0.8750695745250201</v>
      </c>
      <c r="D49" s="1">
        <f t="shared" si="36"/>
        <v>0.832033716885202</v>
      </c>
      <c r="F49" s="3"/>
      <c r="H49" s="1">
        <f>H46/1184.5</f>
        <v>0.99055466441536499</v>
      </c>
      <c r="I49" s="1">
        <f t="shared" ref="I49:J49" si="37">I46/1184.5</f>
        <v>0.5695905445335584</v>
      </c>
      <c r="J49" s="1">
        <f t="shared" si="37"/>
        <v>0.73605234276065856</v>
      </c>
      <c r="L49" s="3"/>
      <c r="N49" s="1">
        <f>N46/65.6</f>
        <v>0.66978658536585378</v>
      </c>
      <c r="O49" s="1">
        <f t="shared" ref="O49:P49" si="38">O46/65.6</f>
        <v>0.858734756097561</v>
      </c>
      <c r="P49" s="1">
        <f t="shared" si="38"/>
        <v>0.7306554878048781</v>
      </c>
      <c r="R49">
        <f>AVERAGE(B49:Q49)</f>
        <v>0.77773880003907825</v>
      </c>
      <c r="S49">
        <f>STDEV(B49:P49)/3</f>
        <v>4.1641965041835628E-2</v>
      </c>
      <c r="T49">
        <f>STDEV(B49:P49)</f>
        <v>0.12492589512550689</v>
      </c>
    </row>
    <row r="50" spans="1:21">
      <c r="A50" t="s">
        <v>27</v>
      </c>
      <c r="B50">
        <f>B48/1494.8</f>
        <v>0.32652595664971906</v>
      </c>
      <c r="C50">
        <f t="shared" ref="C50:D50" si="39">C48/1494.8</f>
        <v>0.31745718490767999</v>
      </c>
      <c r="D50">
        <f t="shared" si="39"/>
        <v>0.33158148247257163</v>
      </c>
      <c r="E50" s="4"/>
      <c r="H50">
        <f>H48/1184.5</f>
        <v>0.25527986492190802</v>
      </c>
      <c r="I50">
        <f t="shared" ref="I50:J50" si="40">I48/1184.5</f>
        <v>0.28568425495989869</v>
      </c>
      <c r="J50">
        <f t="shared" si="40"/>
        <v>0.27294639088222877</v>
      </c>
      <c r="K50" s="4"/>
      <c r="N50" s="3">
        <f>N48/65.6</f>
        <v>0.49960365853658545</v>
      </c>
      <c r="O50" s="3">
        <f t="shared" ref="O50:P50" si="41">O48/65.6</f>
        <v>0.54939024390243907</v>
      </c>
      <c r="P50" s="3">
        <f t="shared" si="41"/>
        <v>0.52117378048780494</v>
      </c>
      <c r="Q50" s="4"/>
      <c r="R50">
        <f>AVERAGE(B50:Q50)</f>
        <v>0.37329364641342622</v>
      </c>
      <c r="S50">
        <f>STDEV(B50:P50)/3</f>
        <v>3.8649030911559031E-2</v>
      </c>
      <c r="T50">
        <f>STDEV(B50:P50)</f>
        <v>0.1159470927346771</v>
      </c>
    </row>
    <row r="51" spans="1:21">
      <c r="A51" s="6"/>
      <c r="B51" s="6"/>
      <c r="C51" s="1"/>
      <c r="D51" s="1"/>
      <c r="E51" s="1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21" ht="18">
      <c r="A52" s="1" t="s">
        <v>44</v>
      </c>
      <c r="B52" s="5"/>
      <c r="C52" s="2">
        <v>43049</v>
      </c>
      <c r="Q52" s="1"/>
      <c r="S52" s="7" t="s">
        <v>53</v>
      </c>
    </row>
    <row r="53" spans="1:21">
      <c r="A53" s="1"/>
      <c r="B53" s="1" t="s">
        <v>1</v>
      </c>
      <c r="C53" s="2"/>
      <c r="D53" s="1"/>
      <c r="E53" s="1"/>
      <c r="F53" s="3"/>
      <c r="H53" s="1" t="s">
        <v>1</v>
      </c>
      <c r="I53" s="2"/>
      <c r="J53" s="1"/>
      <c r="K53" s="1"/>
      <c r="L53" s="3"/>
      <c r="N53" s="1" t="s">
        <v>1</v>
      </c>
      <c r="O53" s="2"/>
      <c r="P53" s="1"/>
      <c r="Q53" s="1"/>
      <c r="S53" s="1"/>
      <c r="T53" s="1"/>
      <c r="U53" s="1"/>
    </row>
    <row r="54" spans="1:21">
      <c r="B54" t="s">
        <v>38</v>
      </c>
      <c r="C54" t="s">
        <v>43</v>
      </c>
      <c r="F54" s="3"/>
      <c r="G54" s="2">
        <v>42896</v>
      </c>
      <c r="H54" t="s">
        <v>38</v>
      </c>
      <c r="I54" t="s">
        <v>43</v>
      </c>
      <c r="L54" s="3"/>
      <c r="N54" t="s">
        <v>38</v>
      </c>
      <c r="O54" t="s">
        <v>43</v>
      </c>
      <c r="Q54" s="1"/>
      <c r="S54" s="1"/>
    </row>
    <row r="55" spans="1:21">
      <c r="A55" t="s">
        <v>11</v>
      </c>
      <c r="B55" t="s">
        <v>12</v>
      </c>
      <c r="C55" t="s">
        <v>13</v>
      </c>
      <c r="D55" t="s">
        <v>14</v>
      </c>
      <c r="E55" t="s">
        <v>15</v>
      </c>
      <c r="F55" s="3"/>
      <c r="G55" s="1" t="s">
        <v>16</v>
      </c>
      <c r="H55" t="s">
        <v>12</v>
      </c>
      <c r="I55" t="s">
        <v>13</v>
      </c>
      <c r="J55" t="s">
        <v>14</v>
      </c>
      <c r="L55" s="3"/>
      <c r="M55" s="1" t="s">
        <v>17</v>
      </c>
      <c r="N55" t="s">
        <v>12</v>
      </c>
      <c r="O55" t="s">
        <v>13</v>
      </c>
      <c r="P55" t="s">
        <v>14</v>
      </c>
      <c r="Q55" t="s">
        <v>15</v>
      </c>
    </row>
    <row r="56" spans="1:21">
      <c r="A56" t="s">
        <v>19</v>
      </c>
      <c r="B56">
        <v>43.247</v>
      </c>
      <c r="C56">
        <v>49.241999999999997</v>
      </c>
      <c r="D56">
        <v>42.710999999999999</v>
      </c>
      <c r="F56" s="3"/>
      <c r="G56" t="s">
        <v>19</v>
      </c>
      <c r="H56">
        <v>52.552</v>
      </c>
      <c r="I56">
        <v>51.572000000000003</v>
      </c>
      <c r="J56">
        <v>54.475999999999999</v>
      </c>
      <c r="L56" s="3"/>
      <c r="M56" t="s">
        <v>19</v>
      </c>
      <c r="N56">
        <v>44.125</v>
      </c>
      <c r="O56">
        <v>44.591999999999999</v>
      </c>
      <c r="P56">
        <v>47.895000000000003</v>
      </c>
    </row>
    <row r="57" spans="1:21">
      <c r="A57" t="s">
        <v>21</v>
      </c>
      <c r="B57">
        <v>57.026000000000003</v>
      </c>
      <c r="C57">
        <v>74.513999999999996</v>
      </c>
      <c r="D57">
        <v>57.406999999999996</v>
      </c>
      <c r="E57">
        <f>AVERAGE(B57:D57)</f>
        <v>62.982333333333337</v>
      </c>
      <c r="F57" s="3"/>
      <c r="G57" t="s">
        <v>21</v>
      </c>
      <c r="H57">
        <v>87.483000000000004</v>
      </c>
      <c r="I57">
        <v>95.730999999999995</v>
      </c>
      <c r="J57">
        <v>91.403000000000006</v>
      </c>
      <c r="K57">
        <f>AVERAGE(H57:J57)</f>
        <v>91.539000000000001</v>
      </c>
      <c r="L57" s="3"/>
      <c r="M57" t="s">
        <v>21</v>
      </c>
      <c r="N57">
        <v>64.36</v>
      </c>
      <c r="O57">
        <v>77.510000000000005</v>
      </c>
      <c r="P57">
        <v>58.835000000000001</v>
      </c>
      <c r="Q57">
        <f>AVERAGE(N57:P57)</f>
        <v>66.901666666666671</v>
      </c>
    </row>
    <row r="58" spans="1:21">
      <c r="A58" t="s">
        <v>23</v>
      </c>
      <c r="B58">
        <v>19.039000000000001</v>
      </c>
      <c r="C58">
        <v>18.146000000000001</v>
      </c>
      <c r="D58">
        <v>16</v>
      </c>
      <c r="E58">
        <f t="shared" ref="E58" si="42">AVERAGE(B58:D58)</f>
        <v>17.728333333333335</v>
      </c>
      <c r="F58" s="3"/>
      <c r="G58" t="s">
        <v>23</v>
      </c>
      <c r="H58">
        <v>24.442</v>
      </c>
      <c r="I58">
        <v>29.138000000000002</v>
      </c>
      <c r="J58">
        <v>26.155000000000001</v>
      </c>
      <c r="K58">
        <f t="shared" ref="K58" si="43">AVERAGE(H58:J58)</f>
        <v>26.578333333333333</v>
      </c>
      <c r="L58" s="3"/>
      <c r="M58" t="s">
        <v>23</v>
      </c>
      <c r="N58">
        <v>22.28</v>
      </c>
      <c r="O58">
        <v>19.111999999999998</v>
      </c>
      <c r="P58">
        <v>20.343</v>
      </c>
      <c r="Q58">
        <f t="shared" ref="Q58" si="44">AVERAGE(N58:P58)</f>
        <v>20.578333333333333</v>
      </c>
      <c r="R58" t="s">
        <v>15</v>
      </c>
      <c r="S58" t="s">
        <v>4</v>
      </c>
    </row>
    <row r="59" spans="1:21">
      <c r="A59" t="s">
        <v>26</v>
      </c>
      <c r="B59">
        <f>B57/63</f>
        <v>0.90517460317460319</v>
      </c>
      <c r="C59">
        <f t="shared" ref="C59:D60" si="45">C57/63</f>
        <v>1.1827619047619047</v>
      </c>
      <c r="D59">
        <f t="shared" si="45"/>
        <v>0.91122222222222216</v>
      </c>
      <c r="F59" s="3"/>
      <c r="H59">
        <f>H56/91.5</f>
        <v>0.5743387978142076</v>
      </c>
      <c r="I59">
        <f t="shared" ref="I59:J59" si="46">I56/91.5</f>
        <v>0.56362841530054653</v>
      </c>
      <c r="J59">
        <f t="shared" si="46"/>
        <v>0.59536612021857926</v>
      </c>
      <c r="L59" s="3"/>
      <c r="N59">
        <f>N56/66.9</f>
        <v>0.6595665171898355</v>
      </c>
      <c r="O59">
        <f t="shared" ref="O59:P59" si="47">O56/66.9</f>
        <v>0.66654708520179362</v>
      </c>
      <c r="P59">
        <f t="shared" si="47"/>
        <v>0.71591928251121073</v>
      </c>
      <c r="R59">
        <f>AVERAGE(B59:Q59)</f>
        <v>0.7527249942661004</v>
      </c>
      <c r="S59">
        <f>STDEV(B59:P59)/3</f>
        <v>6.9030464258855756E-2</v>
      </c>
      <c r="T59">
        <f>STDEV(B59:P59)</f>
        <v>0.20709139277656727</v>
      </c>
    </row>
    <row r="60" spans="1:21">
      <c r="A60" t="s">
        <v>27</v>
      </c>
      <c r="B60">
        <f>B58/63</f>
        <v>0.30220634920634926</v>
      </c>
      <c r="C60">
        <f t="shared" si="45"/>
        <v>0.28803174603174603</v>
      </c>
      <c r="D60">
        <f t="shared" si="45"/>
        <v>0.25396825396825395</v>
      </c>
      <c r="E60" s="4"/>
      <c r="H60">
        <f>H58/91.5</f>
        <v>0.26712568306010931</v>
      </c>
      <c r="I60">
        <f t="shared" ref="I60:J60" si="48">I58/91.5</f>
        <v>0.318448087431694</v>
      </c>
      <c r="J60">
        <f t="shared" si="48"/>
        <v>0.28584699453551915</v>
      </c>
      <c r="K60" s="4"/>
      <c r="N60" s="3">
        <f>N58/66.9</f>
        <v>0.33303437967115096</v>
      </c>
      <c r="O60" s="3">
        <f t="shared" ref="O60:P60" si="49">O58/66.9</f>
        <v>0.28568011958146483</v>
      </c>
      <c r="P60" s="3">
        <f t="shared" si="49"/>
        <v>0.30408071748878923</v>
      </c>
      <c r="Q60" s="4"/>
      <c r="R60">
        <f>AVERAGE(B60:Q60)</f>
        <v>0.29315803677500851</v>
      </c>
      <c r="S60">
        <f>STDEV(B60:P60)/3</f>
        <v>8.1479873572852454E-3</v>
      </c>
      <c r="T60">
        <f>STDEV(B60:P60)</f>
        <v>2.4443962071855736E-2</v>
      </c>
    </row>
    <row r="62" spans="1:21" ht="18">
      <c r="A62" t="s">
        <v>45</v>
      </c>
      <c r="S62" s="7" t="s">
        <v>53</v>
      </c>
    </row>
    <row r="63" spans="1:21">
      <c r="A63" s="1"/>
      <c r="B63" s="1" t="s">
        <v>1</v>
      </c>
      <c r="C63" s="1"/>
      <c r="D63" s="1"/>
      <c r="G63" s="1"/>
      <c r="H63" s="1"/>
      <c r="I63" s="1"/>
      <c r="J63" s="1"/>
      <c r="M63" s="1"/>
      <c r="N63" s="1"/>
      <c r="O63" s="1"/>
      <c r="P63" s="1"/>
    </row>
    <row r="65" spans="1:21">
      <c r="A65" t="s">
        <v>11</v>
      </c>
      <c r="B65" t="s">
        <v>12</v>
      </c>
      <c r="C65" t="s">
        <v>13</v>
      </c>
      <c r="D65" t="s">
        <v>14</v>
      </c>
      <c r="E65" t="s">
        <v>15</v>
      </c>
      <c r="G65" s="1" t="s">
        <v>16</v>
      </c>
      <c r="H65" t="s">
        <v>12</v>
      </c>
      <c r="I65" t="s">
        <v>13</v>
      </c>
      <c r="J65" t="s">
        <v>14</v>
      </c>
      <c r="M65" s="1" t="s">
        <v>17</v>
      </c>
      <c r="N65" t="s">
        <v>12</v>
      </c>
      <c r="O65" t="s">
        <v>13</v>
      </c>
      <c r="P65" t="s">
        <v>14</v>
      </c>
      <c r="Q65" t="s">
        <v>15</v>
      </c>
    </row>
    <row r="66" spans="1:21">
      <c r="A66" t="s">
        <v>19</v>
      </c>
      <c r="B66">
        <v>39.293999999999997</v>
      </c>
      <c r="C66">
        <v>44.133000000000003</v>
      </c>
      <c r="D66" s="1">
        <v>47.643999999999998</v>
      </c>
      <c r="G66" t="s">
        <v>19</v>
      </c>
      <c r="H66">
        <v>41.222000000000001</v>
      </c>
      <c r="I66">
        <v>47.887</v>
      </c>
      <c r="J66" s="1">
        <v>53.866999999999997</v>
      </c>
      <c r="M66" t="s">
        <v>19</v>
      </c>
      <c r="N66">
        <v>65.087000000000003</v>
      </c>
      <c r="O66">
        <v>64.180000000000007</v>
      </c>
      <c r="P66">
        <v>83.247</v>
      </c>
    </row>
    <row r="67" spans="1:21">
      <c r="A67" t="s">
        <v>21</v>
      </c>
      <c r="B67">
        <v>68.302000000000007</v>
      </c>
      <c r="C67">
        <v>65.69</v>
      </c>
      <c r="D67">
        <v>61.075000000000003</v>
      </c>
      <c r="E67">
        <f>AVERAGE(B67:D67)</f>
        <v>65.022333333333336</v>
      </c>
      <c r="G67" t="s">
        <v>21</v>
      </c>
      <c r="H67">
        <v>70.763000000000005</v>
      </c>
      <c r="I67">
        <v>68.445999999999998</v>
      </c>
      <c r="J67">
        <v>89.465999999999994</v>
      </c>
      <c r="K67">
        <f>AVERAGE(H67:J67)</f>
        <v>76.225000000000009</v>
      </c>
      <c r="M67" t="s">
        <v>21</v>
      </c>
      <c r="N67">
        <v>92.073999999999998</v>
      </c>
      <c r="O67">
        <v>76.292000000000002</v>
      </c>
      <c r="P67">
        <v>87.444000000000003</v>
      </c>
      <c r="Q67">
        <f>AVERAGE(N67:P67)</f>
        <v>85.27</v>
      </c>
    </row>
    <row r="68" spans="1:21">
      <c r="A68" t="s">
        <v>23</v>
      </c>
      <c r="B68">
        <v>36.216999999999999</v>
      </c>
      <c r="C68">
        <v>38.814999999999998</v>
      </c>
      <c r="D68">
        <v>38.006999999999998</v>
      </c>
      <c r="E68">
        <f t="shared" ref="E68" si="50">AVERAGE(B68:D68)</f>
        <v>37.679666666666662</v>
      </c>
      <c r="G68" t="s">
        <v>23</v>
      </c>
      <c r="H68">
        <v>37.856999999999999</v>
      </c>
      <c r="I68">
        <v>37.377000000000002</v>
      </c>
      <c r="J68">
        <v>31.529</v>
      </c>
      <c r="K68">
        <f t="shared" ref="K68" si="51">AVERAGE(H68:J68)</f>
        <v>35.587666666666671</v>
      </c>
      <c r="M68" t="s">
        <v>23</v>
      </c>
      <c r="N68">
        <v>58.408000000000001</v>
      </c>
      <c r="O68">
        <v>61.86</v>
      </c>
      <c r="P68">
        <v>53.631</v>
      </c>
      <c r="Q68">
        <f t="shared" ref="Q68" si="52">AVERAGE(N68:P68)</f>
        <v>57.966333333333331</v>
      </c>
      <c r="R68" t="s">
        <v>15</v>
      </c>
      <c r="S68" t="s">
        <v>4</v>
      </c>
      <c r="T68" t="s">
        <v>46</v>
      </c>
    </row>
    <row r="69" spans="1:21">
      <c r="A69" t="s">
        <v>26</v>
      </c>
      <c r="B69">
        <f>B66/65</f>
        <v>0.60452307692307683</v>
      </c>
      <c r="C69">
        <f t="shared" ref="C69:D69" si="53">C66/65</f>
        <v>0.67896923076923077</v>
      </c>
      <c r="D69">
        <f t="shared" si="53"/>
        <v>0.73298461538461535</v>
      </c>
      <c r="H69">
        <f>H66/76.2</f>
        <v>0.54097112860892393</v>
      </c>
      <c r="I69">
        <f t="shared" ref="I69:J69" si="54">I66/76.2</f>
        <v>0.6284383202099737</v>
      </c>
      <c r="J69">
        <f t="shared" si="54"/>
        <v>0.70691601049868757</v>
      </c>
      <c r="N69">
        <f>N66/85.3</f>
        <v>0.76303634232121931</v>
      </c>
      <c r="O69">
        <f t="shared" ref="O69:P69" si="55">O66/85.3</f>
        <v>0.75240328253223931</v>
      </c>
      <c r="P69">
        <f t="shared" si="55"/>
        <v>0.97593200468933183</v>
      </c>
      <c r="R69">
        <f>AVERAGE(B69:Q69)</f>
        <v>0.70935266799303309</v>
      </c>
      <c r="S69">
        <f>STDEV(B69:P69)/3</f>
        <v>4.1361568346216342E-2</v>
      </c>
      <c r="T69">
        <f>STDEV(B69:P69)</f>
        <v>0.12408470503864903</v>
      </c>
    </row>
    <row r="70" spans="1:21">
      <c r="A70" t="s">
        <v>27</v>
      </c>
      <c r="B70">
        <f>B68/65</f>
        <v>0.55718461538461539</v>
      </c>
      <c r="C70">
        <f t="shared" ref="C70:D70" si="56">C68/65</f>
        <v>0.59715384615384615</v>
      </c>
      <c r="D70">
        <f t="shared" si="56"/>
        <v>0.5847230769230769</v>
      </c>
      <c r="E70" s="4"/>
      <c r="H70">
        <f>H68/76.2</f>
        <v>0.49681102362204721</v>
      </c>
      <c r="I70">
        <f t="shared" ref="I70:J70" si="57">I68/76.2</f>
        <v>0.49051181102362207</v>
      </c>
      <c r="J70">
        <f t="shared" si="57"/>
        <v>0.41376640419947502</v>
      </c>
      <c r="K70" s="4"/>
      <c r="N70" s="3">
        <f>N68/85.3</f>
        <v>0.68473622508792498</v>
      </c>
      <c r="O70" s="3">
        <f t="shared" ref="O70:P70" si="58">O68/85.3</f>
        <v>0.72520515826494725</v>
      </c>
      <c r="P70" s="3">
        <f t="shared" si="58"/>
        <v>0.62873388042203993</v>
      </c>
      <c r="Q70" s="4"/>
      <c r="R70">
        <f>AVERAGE(B70:Q70)</f>
        <v>0.57542511567573262</v>
      </c>
      <c r="S70">
        <f>STDEV(B70:P70)/3</f>
        <v>3.2838005935001559E-2</v>
      </c>
      <c r="T70">
        <f>STDEV(B70:P70)</f>
        <v>9.8514017805004669E-2</v>
      </c>
    </row>
    <row r="72" spans="1:21" ht="18">
      <c r="T72" s="7" t="s">
        <v>57</v>
      </c>
    </row>
    <row r="73" spans="1:21">
      <c r="A73" t="s">
        <v>47</v>
      </c>
    </row>
    <row r="74" spans="1:21">
      <c r="A74" s="1"/>
      <c r="B74" s="1" t="s">
        <v>1</v>
      </c>
      <c r="C74" s="1"/>
      <c r="D74" s="1"/>
      <c r="G74" s="1"/>
      <c r="H74" s="1"/>
      <c r="I74" s="1"/>
      <c r="J74" s="1"/>
      <c r="M74" s="1"/>
      <c r="N74" s="1"/>
      <c r="O74" s="1"/>
      <c r="P74" s="1"/>
    </row>
    <row r="76" spans="1:21">
      <c r="A76" t="s">
        <v>11</v>
      </c>
      <c r="B76" t="s">
        <v>12</v>
      </c>
      <c r="C76" t="s">
        <v>13</v>
      </c>
      <c r="D76" t="s">
        <v>14</v>
      </c>
      <c r="E76" t="s">
        <v>15</v>
      </c>
      <c r="G76" s="1" t="s">
        <v>16</v>
      </c>
      <c r="H76" t="s">
        <v>12</v>
      </c>
      <c r="I76" t="s">
        <v>13</v>
      </c>
      <c r="J76" t="s">
        <v>14</v>
      </c>
      <c r="M76" s="1" t="s">
        <v>17</v>
      </c>
      <c r="N76" t="s">
        <v>12</v>
      </c>
      <c r="O76" t="s">
        <v>13</v>
      </c>
      <c r="P76" t="s">
        <v>14</v>
      </c>
      <c r="Q76" t="s">
        <v>15</v>
      </c>
      <c r="S76" t="s">
        <v>34</v>
      </c>
    </row>
    <row r="77" spans="1:21">
      <c r="A77" t="s">
        <v>19</v>
      </c>
      <c r="B77">
        <v>389.63200000000001</v>
      </c>
      <c r="C77">
        <v>502.36099999999999</v>
      </c>
      <c r="D77">
        <v>384.87599999999998</v>
      </c>
      <c r="G77" t="s">
        <v>19</v>
      </c>
      <c r="H77">
        <v>469.70699999999999</v>
      </c>
      <c r="I77">
        <v>333.95299999999997</v>
      </c>
      <c r="J77">
        <v>411.73700000000002</v>
      </c>
      <c r="M77" t="s">
        <v>19</v>
      </c>
      <c r="N77">
        <v>493.779</v>
      </c>
      <c r="O77">
        <v>535.58000000000004</v>
      </c>
      <c r="P77">
        <v>634.79200000000003</v>
      </c>
    </row>
    <row r="78" spans="1:21">
      <c r="A78" t="s">
        <v>21</v>
      </c>
      <c r="B78">
        <v>921.63199999999995</v>
      </c>
      <c r="C78">
        <v>977.08</v>
      </c>
      <c r="D78">
        <v>897.68899999999996</v>
      </c>
      <c r="E78">
        <f>AVERAGE(B78:D78)</f>
        <v>932.13366666666661</v>
      </c>
      <c r="G78" t="s">
        <v>21</v>
      </c>
      <c r="H78">
        <v>764.14099999999996</v>
      </c>
      <c r="I78">
        <v>615.04999999999995</v>
      </c>
      <c r="J78">
        <v>855.86900000000003</v>
      </c>
      <c r="K78">
        <f>AVERAGE(H78:J78)</f>
        <v>745.02</v>
      </c>
      <c r="M78" t="s">
        <v>21</v>
      </c>
      <c r="N78">
        <v>1076.7339999999999</v>
      </c>
      <c r="O78">
        <v>1153.2439999999999</v>
      </c>
      <c r="P78">
        <v>1011.939</v>
      </c>
      <c r="Q78">
        <f>AVERAGE(N78:P78)</f>
        <v>1080.6389999999999</v>
      </c>
    </row>
    <row r="79" spans="1:21">
      <c r="A79" t="s">
        <v>23</v>
      </c>
      <c r="B79">
        <v>396.89699999999999</v>
      </c>
      <c r="C79">
        <v>413.39800000000002</v>
      </c>
      <c r="D79">
        <v>418.41300000000001</v>
      </c>
      <c r="E79">
        <f t="shared" ref="E79" si="59">AVERAGE(B79:D79)</f>
        <v>409.56933333333336</v>
      </c>
      <c r="G79" t="s">
        <v>23</v>
      </c>
      <c r="H79">
        <v>324.27</v>
      </c>
      <c r="I79">
        <v>367.22300000000001</v>
      </c>
      <c r="J79">
        <v>414.178</v>
      </c>
      <c r="K79">
        <f t="shared" ref="K79" si="60">AVERAGE(H79:J79)</f>
        <v>368.55699999999996</v>
      </c>
      <c r="M79" t="s">
        <v>23</v>
      </c>
      <c r="N79">
        <v>429.07100000000003</v>
      </c>
      <c r="O79">
        <v>410.30799999999999</v>
      </c>
      <c r="P79">
        <v>627.88099999999997</v>
      </c>
      <c r="Q79">
        <f t="shared" ref="Q79" si="61">AVERAGE(N79:P79)</f>
        <v>489.08666666666664</v>
      </c>
      <c r="S79" t="s">
        <v>15</v>
      </c>
      <c r="T79" t="s">
        <v>4</v>
      </c>
      <c r="U79" t="s">
        <v>46</v>
      </c>
    </row>
    <row r="80" spans="1:21">
      <c r="A80" t="s">
        <v>26</v>
      </c>
      <c r="B80">
        <f>B77/932</f>
        <v>0.4180600858369099</v>
      </c>
      <c r="C80">
        <f t="shared" ref="C80:D80" si="62">C77/932</f>
        <v>0.53901394849785411</v>
      </c>
      <c r="D80">
        <f t="shared" si="62"/>
        <v>0.41295708154506433</v>
      </c>
      <c r="H80">
        <f>H77/745</f>
        <v>0.63047919463087243</v>
      </c>
      <c r="I80">
        <f t="shared" ref="I80:J80" si="63">I77/745</f>
        <v>0.44825906040268454</v>
      </c>
      <c r="J80">
        <f t="shared" si="63"/>
        <v>0.55266711409395974</v>
      </c>
      <c r="N80">
        <f>N77/1080.6</f>
        <v>0.45694891726818437</v>
      </c>
      <c r="O80">
        <f t="shared" ref="O80:P80" si="64">O77/1080.6</f>
        <v>0.49563205626503803</v>
      </c>
      <c r="P80">
        <f t="shared" si="64"/>
        <v>0.58744401258560064</v>
      </c>
      <c r="R80">
        <f>AVERAGE(B80:Q80)</f>
        <v>0.50460683012512975</v>
      </c>
      <c r="S80">
        <f>0.67*R80</f>
        <v>0.33808657618383697</v>
      </c>
      <c r="T80">
        <f>STDEV(B80:S80)</f>
        <v>8.5337318108851645E-2</v>
      </c>
      <c r="U80">
        <f>STDEV(B80:P80)</f>
        <v>7.7149531246331407E-2</v>
      </c>
    </row>
    <row r="81" spans="1:21">
      <c r="A81" t="s">
        <v>27</v>
      </c>
      <c r="B81">
        <f>B79/932</f>
        <v>0.42585515021459225</v>
      </c>
      <c r="C81">
        <f t="shared" ref="C81:D81" si="65">C79/932</f>
        <v>0.44356008583690992</v>
      </c>
      <c r="D81">
        <f t="shared" si="65"/>
        <v>0.44894098712446351</v>
      </c>
      <c r="E81" s="4"/>
      <c r="H81">
        <f>H79/745</f>
        <v>0.43526174496644293</v>
      </c>
      <c r="I81">
        <f t="shared" ref="I81:J81" si="66">I79/745</f>
        <v>0.49291677852348997</v>
      </c>
      <c r="J81">
        <f t="shared" si="66"/>
        <v>0.55594362416107379</v>
      </c>
      <c r="K81" s="4"/>
      <c r="N81" s="3">
        <f>N79/1080.6</f>
        <v>0.39706736997964098</v>
      </c>
      <c r="O81" s="3">
        <f t="shared" ref="O81:P81" si="67">O79/1080.6</f>
        <v>0.37970386822135854</v>
      </c>
      <c r="P81" s="3">
        <f t="shared" si="67"/>
        <v>0.5810484915787526</v>
      </c>
      <c r="Q81" s="4"/>
      <c r="R81">
        <f>AVERAGE(B81:Q81)</f>
        <v>0.46225534451185829</v>
      </c>
      <c r="S81">
        <f>0.67*R81</f>
        <v>0.30971108082294507</v>
      </c>
      <c r="T81">
        <f>STDEV(B81:S81)</f>
        <v>7.6569172028302324E-2</v>
      </c>
      <c r="U81">
        <f>STDEV(B81:P81)</f>
        <v>6.8441636360432656E-2</v>
      </c>
    </row>
    <row r="83" spans="1:21" ht="18">
      <c r="A83" t="s">
        <v>48</v>
      </c>
      <c r="T83" s="7" t="s">
        <v>58</v>
      </c>
    </row>
    <row r="84" spans="1:21">
      <c r="A84" s="1"/>
      <c r="B84" s="1" t="s">
        <v>1</v>
      </c>
      <c r="C84" s="1"/>
      <c r="D84" s="1"/>
      <c r="G84" s="1"/>
      <c r="H84" s="1"/>
      <c r="I84" s="1"/>
      <c r="J84" s="1"/>
      <c r="M84" s="1"/>
      <c r="N84" s="1"/>
      <c r="O84" s="1"/>
      <c r="P84" s="1"/>
    </row>
    <row r="86" spans="1:21">
      <c r="A86" t="s">
        <v>11</v>
      </c>
      <c r="B86" t="s">
        <v>12</v>
      </c>
      <c r="C86" t="s">
        <v>13</v>
      </c>
      <c r="D86" t="s">
        <v>14</v>
      </c>
      <c r="E86" t="s">
        <v>15</v>
      </c>
      <c r="G86" s="1" t="s">
        <v>16</v>
      </c>
      <c r="H86" t="s">
        <v>12</v>
      </c>
      <c r="I86" t="s">
        <v>13</v>
      </c>
      <c r="J86" t="s">
        <v>14</v>
      </c>
      <c r="M86" s="1" t="s">
        <v>17</v>
      </c>
      <c r="N86" t="s">
        <v>12</v>
      </c>
      <c r="O86" t="s">
        <v>13</v>
      </c>
      <c r="P86" t="s">
        <v>14</v>
      </c>
      <c r="Q86" t="s">
        <v>15</v>
      </c>
    </row>
    <row r="87" spans="1:21">
      <c r="A87" t="s">
        <v>19</v>
      </c>
      <c r="B87">
        <v>45.548000000000002</v>
      </c>
      <c r="C87">
        <v>49.481000000000002</v>
      </c>
      <c r="D87">
        <v>36.470999999999997</v>
      </c>
      <c r="G87" t="s">
        <v>19</v>
      </c>
      <c r="H87">
        <v>28.155999999999999</v>
      </c>
      <c r="I87">
        <v>47.29</v>
      </c>
      <c r="J87">
        <v>33.466000000000001</v>
      </c>
      <c r="M87" t="s">
        <v>19</v>
      </c>
      <c r="N87">
        <v>44.497</v>
      </c>
      <c r="O87">
        <v>45.262</v>
      </c>
      <c r="P87">
        <v>45.640999999999998</v>
      </c>
    </row>
    <row r="88" spans="1:21">
      <c r="A88" t="s">
        <v>21</v>
      </c>
      <c r="B88">
        <v>133.68700000000001</v>
      </c>
      <c r="C88">
        <v>147.28899999999999</v>
      </c>
      <c r="D88">
        <v>137.29599999999999</v>
      </c>
      <c r="E88">
        <f>AVERAGE(B88:D88)</f>
        <v>139.42400000000001</v>
      </c>
      <c r="G88" t="s">
        <v>21</v>
      </c>
      <c r="H88">
        <v>109.002</v>
      </c>
      <c r="I88">
        <v>102.249</v>
      </c>
      <c r="J88">
        <v>114.502</v>
      </c>
      <c r="K88">
        <f>AVERAGE(H88:J88)</f>
        <v>108.58433333333333</v>
      </c>
      <c r="M88" t="s">
        <v>21</v>
      </c>
      <c r="N88">
        <v>176.654</v>
      </c>
      <c r="O88">
        <v>147.84</v>
      </c>
      <c r="P88">
        <v>163.68299999999999</v>
      </c>
      <c r="Q88">
        <f>AVERAGE(N88:P88)</f>
        <v>162.72566666666668</v>
      </c>
    </row>
    <row r="89" spans="1:21">
      <c r="A89" t="s">
        <v>23</v>
      </c>
      <c r="B89">
        <v>20.841000000000001</v>
      </c>
      <c r="C89">
        <v>24.082000000000001</v>
      </c>
      <c r="D89">
        <v>23.661999999999999</v>
      </c>
      <c r="E89">
        <f t="shared" ref="E89" si="68">AVERAGE(B89:D89)</f>
        <v>22.861666666666668</v>
      </c>
      <c r="G89" t="s">
        <v>23</v>
      </c>
      <c r="H89">
        <v>22.353000000000002</v>
      </c>
      <c r="I89">
        <v>21.201000000000001</v>
      </c>
      <c r="J89">
        <v>23.251000000000001</v>
      </c>
      <c r="K89">
        <f t="shared" ref="K89" si="69">AVERAGE(H89:J89)</f>
        <v>22.268333333333334</v>
      </c>
      <c r="M89" t="s">
        <v>23</v>
      </c>
      <c r="N89">
        <v>26.04</v>
      </c>
      <c r="O89">
        <v>21.710999999999999</v>
      </c>
      <c r="P89">
        <v>23.963000000000001</v>
      </c>
      <c r="Q89">
        <f t="shared" ref="Q89" si="70">AVERAGE(N89:P89)</f>
        <v>23.904666666666667</v>
      </c>
      <c r="R89" t="s">
        <v>15</v>
      </c>
      <c r="S89" t="s">
        <v>4</v>
      </c>
    </row>
    <row r="90" spans="1:21" ht="18">
      <c r="A90" t="s">
        <v>26</v>
      </c>
      <c r="B90">
        <f>B87/139.4</f>
        <v>0.32674318507890959</v>
      </c>
      <c r="C90">
        <f t="shared" ref="C90:D90" si="71">C87/139.4</f>
        <v>0.35495695839311336</v>
      </c>
      <c r="D90">
        <f t="shared" si="71"/>
        <v>0.26162840746054516</v>
      </c>
      <c r="H90" s="1">
        <f>H87/108.6</f>
        <v>0.25926335174953957</v>
      </c>
      <c r="I90" s="1">
        <f t="shared" ref="I90:J90" si="72">I87/108.6</f>
        <v>0.43545119705340701</v>
      </c>
      <c r="J90" s="1">
        <f t="shared" si="72"/>
        <v>0.30815837937384899</v>
      </c>
      <c r="N90">
        <f>N87/162.7</f>
        <v>0.27349108789182547</v>
      </c>
      <c r="O90">
        <f t="shared" ref="O90:P90" si="73">O87/162.7</f>
        <v>0.27819299323909036</v>
      </c>
      <c r="P90">
        <f t="shared" si="73"/>
        <v>0.28052243392747389</v>
      </c>
      <c r="R90">
        <f>AVERAGE(B90:Q90)</f>
        <v>0.30871199935197258</v>
      </c>
      <c r="S90">
        <f>STDEV(B90:P90)/3</f>
        <v>1.9059649763837741E-2</v>
      </c>
      <c r="T90">
        <f>STDEV(B90:P90)</f>
        <v>5.7178949291513223E-2</v>
      </c>
      <c r="U90" s="7" t="s">
        <v>49</v>
      </c>
    </row>
    <row r="91" spans="1:21">
      <c r="A91" t="s">
        <v>27</v>
      </c>
      <c r="B91">
        <f>B89/139.4</f>
        <v>0.14950502152080344</v>
      </c>
      <c r="C91">
        <f t="shared" ref="C91:D91" si="74">C89/139.4</f>
        <v>0.17275466284074606</v>
      </c>
      <c r="D91">
        <f t="shared" si="74"/>
        <v>0.16974175035868005</v>
      </c>
      <c r="E91" s="4"/>
      <c r="H91">
        <f>H89/108.6</f>
        <v>0.20582872928176799</v>
      </c>
      <c r="I91">
        <f t="shared" ref="I91:J91" si="75">I89/108.6</f>
        <v>0.19522099447513813</v>
      </c>
      <c r="J91">
        <f t="shared" si="75"/>
        <v>0.21409760589318602</v>
      </c>
      <c r="K91" s="4"/>
      <c r="N91" s="3">
        <f>N89/162.7</f>
        <v>0.16004917025199755</v>
      </c>
      <c r="O91" s="3">
        <f t="shared" ref="O91:P91" si="76">O89/162.7</f>
        <v>0.13344191763982791</v>
      </c>
      <c r="P91" s="3">
        <f t="shared" si="76"/>
        <v>0.14728334357713585</v>
      </c>
      <c r="Q91" s="4"/>
      <c r="R91">
        <f>AVERAGE(B91:Q91)</f>
        <v>0.17199146620436478</v>
      </c>
      <c r="S91">
        <f>STDEV(B91:P91)/3</f>
        <v>9.2855620392114525E-3</v>
      </c>
      <c r="T91">
        <f>STDEV(B91:P91)</f>
        <v>2.7856686117634356E-2</v>
      </c>
    </row>
    <row r="93" spans="1:21">
      <c r="A93" t="s">
        <v>50</v>
      </c>
    </row>
    <row r="94" spans="1:21">
      <c r="A94" s="1"/>
      <c r="B94" s="1" t="s">
        <v>1</v>
      </c>
      <c r="C94" s="1"/>
      <c r="D94" s="1"/>
      <c r="G94" s="1"/>
      <c r="H94" s="1"/>
      <c r="I94" s="1"/>
      <c r="J94" s="1"/>
      <c r="M94" s="1"/>
      <c r="N94" s="1"/>
      <c r="O94" s="1"/>
      <c r="P94" s="1"/>
    </row>
    <row r="96" spans="1:21">
      <c r="A96" t="s">
        <v>11</v>
      </c>
      <c r="B96" t="s">
        <v>12</v>
      </c>
      <c r="C96" t="s">
        <v>13</v>
      </c>
      <c r="D96" t="s">
        <v>14</v>
      </c>
      <c r="E96" t="s">
        <v>15</v>
      </c>
      <c r="G96" s="1" t="s">
        <v>16</v>
      </c>
      <c r="H96" t="s">
        <v>12</v>
      </c>
      <c r="I96" t="s">
        <v>13</v>
      </c>
      <c r="J96" t="s">
        <v>14</v>
      </c>
      <c r="M96" s="1" t="s">
        <v>17</v>
      </c>
      <c r="N96" t="s">
        <v>12</v>
      </c>
      <c r="O96" t="s">
        <v>13</v>
      </c>
      <c r="P96" t="s">
        <v>14</v>
      </c>
      <c r="Q96" t="s">
        <v>15</v>
      </c>
    </row>
    <row r="97" spans="1:21">
      <c r="A97" t="s">
        <v>19</v>
      </c>
      <c r="B97">
        <v>44.744999999999997</v>
      </c>
      <c r="C97">
        <v>46.963999999999999</v>
      </c>
      <c r="D97">
        <v>48.811999999999998</v>
      </c>
      <c r="G97" t="s">
        <v>19</v>
      </c>
      <c r="H97">
        <v>50.09</v>
      </c>
      <c r="I97">
        <v>36.372999999999998</v>
      </c>
      <c r="J97">
        <v>42.576000000000001</v>
      </c>
      <c r="M97" t="s">
        <v>19</v>
      </c>
      <c r="N97">
        <v>35.082000000000001</v>
      </c>
      <c r="O97">
        <v>34.356000000000002</v>
      </c>
      <c r="P97">
        <v>41.642000000000003</v>
      </c>
    </row>
    <row r="98" spans="1:21">
      <c r="A98" t="s">
        <v>21</v>
      </c>
      <c r="B98">
        <v>162.477</v>
      </c>
      <c r="C98">
        <v>160.661</v>
      </c>
      <c r="D98">
        <v>157.965</v>
      </c>
      <c r="E98">
        <f>AVERAGE(B98:D98)</f>
        <v>160.36766666666668</v>
      </c>
      <c r="G98" t="s">
        <v>21</v>
      </c>
      <c r="H98">
        <v>81.7</v>
      </c>
      <c r="I98">
        <v>96.951999999999998</v>
      </c>
      <c r="J98">
        <v>105.631</v>
      </c>
      <c r="K98">
        <f>AVERAGE(H98:J98)</f>
        <v>94.76100000000001</v>
      </c>
      <c r="M98" t="s">
        <v>21</v>
      </c>
      <c r="N98">
        <v>90.277000000000001</v>
      </c>
      <c r="O98">
        <v>103.333</v>
      </c>
      <c r="P98">
        <v>116.973</v>
      </c>
      <c r="Q98">
        <f>AVERAGE(N98:P98)</f>
        <v>103.52766666666668</v>
      </c>
    </row>
    <row r="99" spans="1:21">
      <c r="A99" t="s">
        <v>23</v>
      </c>
      <c r="B99">
        <v>37.021000000000001</v>
      </c>
      <c r="C99">
        <v>40.540999999999997</v>
      </c>
      <c r="D99">
        <v>39.350999999999999</v>
      </c>
      <c r="E99">
        <f t="shared" ref="E99" si="77">AVERAGE(B99:D99)</f>
        <v>38.970999999999997</v>
      </c>
      <c r="G99" t="s">
        <v>23</v>
      </c>
      <c r="H99">
        <v>40.573</v>
      </c>
      <c r="I99">
        <v>35.31</v>
      </c>
      <c r="J99">
        <v>33.103999999999999</v>
      </c>
      <c r="K99">
        <f t="shared" ref="K99" si="78">AVERAGE(H99:J99)</f>
        <v>36.329000000000001</v>
      </c>
      <c r="M99" t="s">
        <v>23</v>
      </c>
      <c r="N99">
        <v>28.704000000000001</v>
      </c>
      <c r="O99">
        <v>27.6</v>
      </c>
      <c r="P99">
        <v>24.228999999999999</v>
      </c>
      <c r="Q99">
        <f t="shared" ref="Q99" si="79">AVERAGE(N99:P99)</f>
        <v>26.844333333333335</v>
      </c>
      <c r="R99" t="s">
        <v>15</v>
      </c>
      <c r="S99" t="s">
        <v>4</v>
      </c>
      <c r="T99" t="s">
        <v>24</v>
      </c>
    </row>
    <row r="100" spans="1:21" ht="18">
      <c r="A100" t="s">
        <v>26</v>
      </c>
      <c r="B100">
        <f>B97/160.4</f>
        <v>0.2789588528678304</v>
      </c>
      <c r="C100">
        <f t="shared" ref="C100:D100" si="80">C97/160.4</f>
        <v>0.29279301745635911</v>
      </c>
      <c r="D100">
        <f t="shared" si="80"/>
        <v>0.30431421446384038</v>
      </c>
      <c r="H100">
        <f>H97/94.8</f>
        <v>0.52837552742616034</v>
      </c>
      <c r="I100">
        <f t="shared" ref="I100:J100" si="81">I97/94.8</f>
        <v>0.3836814345991561</v>
      </c>
      <c r="J100">
        <f t="shared" si="81"/>
        <v>0.44911392405063294</v>
      </c>
      <c r="N100">
        <f>N97/103.5</f>
        <v>0.33895652173913043</v>
      </c>
      <c r="O100">
        <f t="shared" ref="O100:P100" si="82">O97/103.5</f>
        <v>0.33194202898550729</v>
      </c>
      <c r="P100">
        <f t="shared" si="82"/>
        <v>0.40233816425120777</v>
      </c>
      <c r="R100">
        <f>AVERAGE(B100:Q100)</f>
        <v>0.36783040953775831</v>
      </c>
      <c r="S100">
        <f>STDEV(B100:P100)/3</f>
        <v>2.7261219104220528E-2</v>
      </c>
      <c r="T100">
        <f>STDEV(B100:P100)</f>
        <v>8.1783657312661587E-2</v>
      </c>
      <c r="U100" s="7" t="s">
        <v>59</v>
      </c>
    </row>
    <row r="101" spans="1:21">
      <c r="A101" t="s">
        <v>27</v>
      </c>
      <c r="B101">
        <f>B99/160.4</f>
        <v>0.23080423940149625</v>
      </c>
      <c r="C101">
        <f t="shared" ref="C101:D101" si="83">C99/160.4</f>
        <v>0.25274937655860347</v>
      </c>
      <c r="D101">
        <f t="shared" si="83"/>
        <v>0.24533042394014962</v>
      </c>
      <c r="E101" s="4"/>
      <c r="H101">
        <f>H99/94.8</f>
        <v>0.42798523206751055</v>
      </c>
      <c r="I101">
        <f t="shared" ref="I101:J101" si="84">I99/94.8</f>
        <v>0.37246835443037979</v>
      </c>
      <c r="J101">
        <f t="shared" si="84"/>
        <v>0.34919831223628695</v>
      </c>
      <c r="K101" s="4"/>
      <c r="N101" s="3">
        <f>N99/103.5</f>
        <v>0.27733333333333332</v>
      </c>
      <c r="O101" s="3">
        <f t="shared" ref="O101:P101" si="85">O99/103.5</f>
        <v>0.26666666666666666</v>
      </c>
      <c r="P101" s="3">
        <f t="shared" si="85"/>
        <v>0.23409661835748791</v>
      </c>
      <c r="Q101" s="4"/>
      <c r="R101">
        <f>AVERAGE(B101:Q101)</f>
        <v>0.29518139522132381</v>
      </c>
      <c r="S101">
        <f>STDEV(B101:P101)/3</f>
        <v>2.3517418848052377E-2</v>
      </c>
      <c r="T101">
        <f>STDEV(B101:P101)</f>
        <v>7.055225654415713E-2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</vt:lpstr>
      <vt:lpstr> L raw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jamielittle88@gmail.com</dc:creator>
  <cp:lastModifiedBy>Daniel Kalderon</cp:lastModifiedBy>
  <dcterms:created xsi:type="dcterms:W3CDTF">2020-09-23T13:11:53Z</dcterms:created>
  <dcterms:modified xsi:type="dcterms:W3CDTF">2020-09-24T16:40:53Z</dcterms:modified>
</cp:coreProperties>
</file>