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b246\Documents\Papiers\Manuscripts\Manuscripts in progress\In progress\Membrane tension (Joel+Yuan)\eLife\Revisions\Data\"/>
    </mc:Choice>
  </mc:AlternateContent>
  <xr:revisionPtr revIDLastSave="0" documentId="13_ncr:1_{2DF56373-DF46-48F5-A71D-0686FCA29B1B}" xr6:coauthVersionLast="43" xr6:coauthVersionMax="43" xr10:uidLastSave="{00000000-0000-0000-0000-000000000000}"/>
  <bookViews>
    <workbookView xWindow="1485" yWindow="690" windowWidth="20820" windowHeight="13140" xr2:uid="{00000000-000D-0000-FFFF-FFFF00000000}"/>
  </bookViews>
  <sheets>
    <sheet name="CME density" sheetId="1" r:id="rId1"/>
    <sheet name="Volume" sheetId="2" r:id="rId2"/>
    <sheet name="ANOVA (ΔP=-0.025 M)" sheetId="6" r:id="rId3"/>
    <sheet name="ANOVA (ΔP=-0.05 M)" sheetId="7" r:id="rId4"/>
    <sheet name="ANOVA (ΔP=-0.1 M)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8" l="1"/>
  <c r="K28" i="6"/>
  <c r="J28" i="6"/>
  <c r="I28" i="6"/>
  <c r="H28" i="6"/>
  <c r="K28" i="7"/>
  <c r="J28" i="7"/>
  <c r="H28" i="7"/>
  <c r="I28" i="7"/>
  <c r="K32" i="7"/>
  <c r="J32" i="7"/>
  <c r="I32" i="7"/>
  <c r="H32" i="7"/>
  <c r="G32" i="7"/>
  <c r="C32" i="7"/>
  <c r="I32" i="6"/>
  <c r="H32" i="6"/>
  <c r="G32" i="6"/>
  <c r="C32" i="6"/>
  <c r="K26" i="7" l="1"/>
  <c r="C26" i="8"/>
  <c r="C24" i="8"/>
  <c r="C22" i="8"/>
  <c r="C13" i="8"/>
  <c r="C11" i="8"/>
  <c r="C9" i="8"/>
  <c r="B6" i="8"/>
  <c r="D6" i="8"/>
  <c r="C6" i="8" s="1"/>
  <c r="B7" i="8"/>
  <c r="D7" i="8"/>
  <c r="C7" i="8" s="1"/>
  <c r="C5" i="8"/>
  <c r="D5" i="8"/>
  <c r="B5" i="8"/>
  <c r="B6" i="7"/>
  <c r="D6" i="7"/>
  <c r="B7" i="7"/>
  <c r="D7" i="7"/>
  <c r="C7" i="7" s="1"/>
  <c r="B8" i="7"/>
  <c r="D8" i="7"/>
  <c r="C8" i="7" s="1"/>
  <c r="B9" i="7"/>
  <c r="D9" i="7"/>
  <c r="C9" i="7" s="1"/>
  <c r="B10" i="7"/>
  <c r="D10" i="7"/>
  <c r="C10" i="7" s="1"/>
  <c r="B11" i="7"/>
  <c r="D11" i="7"/>
  <c r="C11" i="7" s="1"/>
  <c r="D5" i="7"/>
  <c r="C5" i="7" s="1"/>
  <c r="B5" i="7"/>
  <c r="C30" i="6"/>
  <c r="C29" i="6"/>
  <c r="C28" i="6"/>
  <c r="C26" i="6"/>
  <c r="K30" i="6"/>
  <c r="K29" i="6"/>
  <c r="K26" i="6"/>
  <c r="J30" i="6"/>
  <c r="J29" i="6"/>
  <c r="J32" i="6" s="1"/>
  <c r="J26" i="6"/>
  <c r="I30" i="6"/>
  <c r="I29" i="6"/>
  <c r="I26" i="6"/>
  <c r="H30" i="6"/>
  <c r="H29" i="6"/>
  <c r="H26" i="6"/>
  <c r="K31" i="6"/>
  <c r="K33" i="6" s="1"/>
  <c r="K32" i="6"/>
  <c r="G33" i="6"/>
  <c r="G31" i="6"/>
  <c r="G30" i="6"/>
  <c r="G29" i="6"/>
  <c r="G28" i="6"/>
  <c r="G26" i="6"/>
  <c r="L17" i="6"/>
  <c r="L16" i="6"/>
  <c r="L15" i="6"/>
  <c r="L13" i="6"/>
  <c r="L19" i="6"/>
  <c r="B6" i="6"/>
  <c r="C6" i="6"/>
  <c r="D6" i="6"/>
  <c r="B7" i="6"/>
  <c r="D7" i="6"/>
  <c r="C7" i="6" s="1"/>
  <c r="B8" i="6"/>
  <c r="D8" i="6"/>
  <c r="C8" i="6" s="1"/>
  <c r="B9" i="6"/>
  <c r="D9" i="6"/>
  <c r="C9" i="6" s="1"/>
  <c r="B10" i="6"/>
  <c r="D10" i="6"/>
  <c r="C10" i="6" s="1"/>
  <c r="B11" i="6"/>
  <c r="D11" i="6"/>
  <c r="C11" i="6" s="1"/>
  <c r="D5" i="6"/>
  <c r="C5" i="6" s="1"/>
  <c r="B5" i="6"/>
  <c r="K16" i="6"/>
  <c r="K19" i="6" s="1"/>
  <c r="H26" i="7" l="1"/>
  <c r="H29" i="7"/>
  <c r="C29" i="7"/>
  <c r="L16" i="7"/>
  <c r="L19" i="7" s="1"/>
  <c r="I26" i="7"/>
  <c r="I29" i="7"/>
  <c r="I13" i="7"/>
  <c r="I15" i="7" s="1"/>
  <c r="C16" i="7"/>
  <c r="C19" i="7" s="1"/>
  <c r="J26" i="7"/>
  <c r="J29" i="7"/>
  <c r="G13" i="7"/>
  <c r="G15" i="7" s="1"/>
  <c r="G16" i="7"/>
  <c r="K13" i="7"/>
  <c r="K15" i="7" s="1"/>
  <c r="H16" i="7"/>
  <c r="J13" i="7"/>
  <c r="J15" i="7" s="1"/>
  <c r="C6" i="7"/>
  <c r="L13" i="7"/>
  <c r="L15" i="7" s="1"/>
  <c r="I16" i="7"/>
  <c r="I17" i="7" s="1"/>
  <c r="K29" i="7"/>
  <c r="J16" i="7"/>
  <c r="J19" i="7" s="1"/>
  <c r="C26" i="7"/>
  <c r="C28" i="7" s="1"/>
  <c r="H13" i="7"/>
  <c r="H15" i="7" s="1"/>
  <c r="C13" i="7"/>
  <c r="C15" i="7" s="1"/>
  <c r="K16" i="7"/>
  <c r="K19" i="7" s="1"/>
  <c r="G26" i="7"/>
  <c r="G28" i="7" s="1"/>
  <c r="G29" i="7"/>
  <c r="K30" i="7" s="1"/>
  <c r="C25" i="8"/>
  <c r="H12" i="8"/>
  <c r="H15" i="8" s="1"/>
  <c r="C31" i="6"/>
  <c r="C33" i="6" s="1"/>
  <c r="J31" i="6"/>
  <c r="J33" i="6" s="1"/>
  <c r="I31" i="6"/>
  <c r="I33" i="6" s="1"/>
  <c r="H31" i="6"/>
  <c r="H33" i="6" s="1"/>
  <c r="G13" i="6"/>
  <c r="L18" i="6"/>
  <c r="L20" i="6" s="1"/>
  <c r="C13" i="6"/>
  <c r="C15" i="6" s="1"/>
  <c r="C16" i="6"/>
  <c r="C17" i="6"/>
  <c r="I16" i="6"/>
  <c r="I19" i="6" s="1"/>
  <c r="H16" i="6"/>
  <c r="H19" i="6" s="1"/>
  <c r="K17" i="6"/>
  <c r="H13" i="6"/>
  <c r="H9" i="8"/>
  <c r="H11" i="8" s="1"/>
  <c r="J13" i="6"/>
  <c r="J15" i="6" s="1"/>
  <c r="C19" i="6"/>
  <c r="C12" i="8"/>
  <c r="C15" i="8" s="1"/>
  <c r="I13" i="6"/>
  <c r="I15" i="6" s="1"/>
  <c r="K13" i="6"/>
  <c r="K15" i="6" s="1"/>
  <c r="G16" i="6"/>
  <c r="G19" i="6" s="1"/>
  <c r="I17" i="6"/>
  <c r="G12" i="8"/>
  <c r="G15" i="8" s="1"/>
  <c r="H15" i="6"/>
  <c r="J16" i="6"/>
  <c r="G15" i="6"/>
  <c r="G9" i="8"/>
  <c r="G11" i="8" s="1"/>
  <c r="J17" i="7" l="1"/>
  <c r="L17" i="7"/>
  <c r="L18" i="7"/>
  <c r="L20" i="7" s="1"/>
  <c r="C30" i="7"/>
  <c r="C31" i="7" s="1"/>
  <c r="C33" i="7" s="1"/>
  <c r="K17" i="7"/>
  <c r="K18" i="7"/>
  <c r="K20" i="7" s="1"/>
  <c r="I18" i="7"/>
  <c r="I20" i="7" s="1"/>
  <c r="G17" i="7"/>
  <c r="G18" i="7" s="1"/>
  <c r="G20" i="7" s="1"/>
  <c r="G19" i="7"/>
  <c r="J18" i="7"/>
  <c r="J20" i="7" s="1"/>
  <c r="J30" i="7"/>
  <c r="G30" i="7"/>
  <c r="G31" i="7" s="1"/>
  <c r="G33" i="7" s="1"/>
  <c r="C17" i="7"/>
  <c r="C18" i="7" s="1"/>
  <c r="C20" i="7" s="1"/>
  <c r="I30" i="7"/>
  <c r="H30" i="7"/>
  <c r="I19" i="7"/>
  <c r="K31" i="7"/>
  <c r="K33" i="7" s="1"/>
  <c r="H17" i="7"/>
  <c r="H18" i="7" s="1"/>
  <c r="H20" i="7" s="1"/>
  <c r="H19" i="7"/>
  <c r="C27" i="8"/>
  <c r="C29" i="8" s="1"/>
  <c r="K18" i="6"/>
  <c r="K20" i="6" s="1"/>
  <c r="H17" i="6"/>
  <c r="H18" i="6" s="1"/>
  <c r="H20" i="6" s="1"/>
  <c r="G17" i="6"/>
  <c r="G18" i="6" s="1"/>
  <c r="G20" i="6" s="1"/>
  <c r="C14" i="8"/>
  <c r="C16" i="8" s="1"/>
  <c r="G13" i="8"/>
  <c r="G14" i="8" s="1"/>
  <c r="G16" i="8" s="1"/>
  <c r="C18" i="6"/>
  <c r="C20" i="6" s="1"/>
  <c r="I18" i="6"/>
  <c r="I20" i="6" s="1"/>
  <c r="H13" i="8"/>
  <c r="H14" i="8" s="1"/>
  <c r="H16" i="8" s="1"/>
  <c r="J17" i="6"/>
  <c r="J18" i="6" s="1"/>
  <c r="J20" i="6" s="1"/>
  <c r="J19" i="6"/>
  <c r="J31" i="7" l="1"/>
  <c r="J33" i="7" s="1"/>
  <c r="H31" i="7"/>
  <c r="H33" i="7" s="1"/>
  <c r="I31" i="7"/>
  <c r="I33" i="7" s="1"/>
</calcChain>
</file>

<file path=xl/sharedStrings.xml><?xml version="1.0" encoding="utf-8"?>
<sst xmlns="http://schemas.openxmlformats.org/spreadsheetml/2006/main" count="206" uniqueCount="80">
  <si>
    <t>Protoplats</t>
  </si>
  <si>
    <t>Steady state in 0.4M</t>
  </si>
  <si>
    <t>ΔP=-0.05 M</t>
  </si>
  <si>
    <t>0 min after shock</t>
  </si>
  <si>
    <t>2 min after shock</t>
  </si>
  <si>
    <t>4 min after shock</t>
  </si>
  <si>
    <t>6 min after shock</t>
  </si>
  <si>
    <t>8 min after shock</t>
  </si>
  <si>
    <t>10 min after shock</t>
  </si>
  <si>
    <t>Density of CME events (%)</t>
  </si>
  <si>
    <t>ΔP=-0.1 M</t>
  </si>
  <si>
    <t>Volume (%)</t>
  </si>
  <si>
    <t>SEM</t>
  </si>
  <si>
    <t>N</t>
  </si>
  <si>
    <t>pil1Δ</t>
  </si>
  <si>
    <t>ΔP=-0.025 M</t>
  </si>
  <si>
    <t>One -way ANOVA</t>
  </si>
  <si>
    <t>Significance level</t>
  </si>
  <si>
    <r>
      <t>α</t>
    </r>
    <r>
      <rPr>
        <sz val="11"/>
        <color theme="1"/>
        <rFont val="Calibri"/>
        <family val="2"/>
        <scheme val="minor"/>
      </rPr>
      <t xml:space="preserve"> =</t>
    </r>
  </si>
  <si>
    <t>mean</t>
  </si>
  <si>
    <t>stdev</t>
  </si>
  <si>
    <t>Steady-state at 0.4 M</t>
  </si>
  <si>
    <t>0 min after ΔP=-0.05 M</t>
  </si>
  <si>
    <t>2 min after ΔP=-0.05 M</t>
  </si>
  <si>
    <t>4 min after ΔP=-0.05 M</t>
  </si>
  <si>
    <t>6 min after ΔP=-0.05 M</t>
  </si>
  <si>
    <t>8 min after ΔP=-0.05 M</t>
  </si>
  <si>
    <t>ANOVA between steady-state and 0 min</t>
  </si>
  <si>
    <t>ANOVA between steady-state and 2 min</t>
  </si>
  <si>
    <t>ANOVA between steady-state and 4 min</t>
  </si>
  <si>
    <t>ANOVA between steady-state and 6 min</t>
  </si>
  <si>
    <t>ANOVA between steady-state and 8 min</t>
  </si>
  <si>
    <t>Overall mean</t>
  </si>
  <si>
    <t>m=</t>
  </si>
  <si>
    <t>Between-group degrees of freedom</t>
  </si>
  <si>
    <t>dfb=</t>
  </si>
  <si>
    <t>Between-group mean square value</t>
  </si>
  <si>
    <t>MSb=</t>
  </si>
  <si>
    <t>Within-group degrees of freedom</t>
  </si>
  <si>
    <t>dfw=</t>
  </si>
  <si>
    <t>Within-group mean square value</t>
  </si>
  <si>
    <t>MSw=</t>
  </si>
  <si>
    <t>F-ratio</t>
  </si>
  <si>
    <t>F=</t>
  </si>
  <si>
    <t>Critical value</t>
  </si>
  <si>
    <t>Fcrit=</t>
  </si>
  <si>
    <t>p-value</t>
  </si>
  <si>
    <t>p=</t>
  </si>
  <si>
    <t>There is a statistically significant difference between conditions</t>
  </si>
  <si>
    <t>0 min after ΔP=-0.1 M</t>
  </si>
  <si>
    <t>2 min after ΔP=-0.1 M</t>
  </si>
  <si>
    <t>The difference between steady-state and 0 min after shock is statistically significant</t>
  </si>
  <si>
    <t>The difference between steady-state and 2 min after shock is statistically significant</t>
  </si>
  <si>
    <t>The difference between steady-state and 4 min after shock is statistically significant</t>
  </si>
  <si>
    <t>0 min after ΔP=-0.025 M</t>
  </si>
  <si>
    <t>2 min after ΔP=-0.025 M</t>
  </si>
  <si>
    <t>4 min after ΔP=-0.025 M</t>
  </si>
  <si>
    <t>6 min after ΔP=-0.025 M</t>
  </si>
  <si>
    <t>8 min after ΔP=-0.025 M</t>
  </si>
  <si>
    <t>10 min after ΔP=-0.025 M</t>
  </si>
  <si>
    <t>10 min after ΔP=-0.05 M</t>
  </si>
  <si>
    <t>ANOVA between steady-state and 10 min</t>
  </si>
  <si>
    <t>The difference between steady-state and 6 min after shock is statistically significant</t>
  </si>
  <si>
    <t>The difference between steady-state and 8 min after shock is statistically significant</t>
  </si>
  <si>
    <t>ANOVA between 2 min and 10 min</t>
  </si>
  <si>
    <t>ANOVA between 8 min and 10 min</t>
  </si>
  <si>
    <t>ANOVA between 6 min and 10 min</t>
  </si>
  <si>
    <t>ANOVA between 4 min and 10 min</t>
  </si>
  <si>
    <t>The difference between 2 min and 10 min after shock is statistically significant</t>
  </si>
  <si>
    <t>The difference between 2 min and 10 min after shock is not statistically significant</t>
  </si>
  <si>
    <t>All conditions after the shock</t>
  </si>
  <si>
    <t>There is no stastistically significant difference between different time points after the shock</t>
  </si>
  <si>
    <t>There is a stastistically significant difference between different time points after the shock</t>
  </si>
  <si>
    <t>ANOVA between 0 min and 10 min</t>
  </si>
  <si>
    <t>The difference between 0 min and 10 min after shock is statistically significant</t>
  </si>
  <si>
    <t>The difference between 4 min and 10 min after shock is statistically significant</t>
  </si>
  <si>
    <t>The difference between 8 min and 10 min after shock is not statistically significant</t>
  </si>
  <si>
    <t>The difference between 0 min and 10 min after shock is not statistically significant</t>
  </si>
  <si>
    <t>The difference between 4 min and 10 min after shock is not statistically significant</t>
  </si>
  <si>
    <t>The difference between 6 min and 10 min after shock is not statistically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</si>
</sst>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/>
  </sheetViews>
  <sheetFormatPr defaultRowHeight="15" x14ac:dyDescent="0.25"/>
  <cols>
    <col min="1" max="1" width="21" bestFit="1" customWidth="1"/>
    <col min="2" max="2" width="24.5703125" bestFit="1" customWidth="1"/>
    <col min="6" max="6" width="27.140625" bestFit="1" customWidth="1"/>
    <col min="10" max="10" width="24.5703125" bestFit="1" customWidth="1"/>
  </cols>
  <sheetData>
    <row r="1" spans="1:13" x14ac:dyDescent="0.25">
      <c r="A1" s="3" t="s">
        <v>14</v>
      </c>
    </row>
    <row r="2" spans="1:13" x14ac:dyDescent="0.25">
      <c r="A2" t="s">
        <v>0</v>
      </c>
    </row>
    <row r="3" spans="1:13" x14ac:dyDescent="0.25">
      <c r="B3" t="s">
        <v>15</v>
      </c>
      <c r="F3" t="s">
        <v>2</v>
      </c>
      <c r="J3" t="s">
        <v>10</v>
      </c>
    </row>
    <row r="4" spans="1:13" x14ac:dyDescent="0.25">
      <c r="B4" t="s">
        <v>9</v>
      </c>
      <c r="C4" t="s">
        <v>12</v>
      </c>
      <c r="D4" t="s">
        <v>13</v>
      </c>
      <c r="F4" t="s">
        <v>9</v>
      </c>
      <c r="G4" t="s">
        <v>12</v>
      </c>
      <c r="H4" t="s">
        <v>13</v>
      </c>
      <c r="J4" t="s">
        <v>9</v>
      </c>
      <c r="K4" t="s">
        <v>12</v>
      </c>
      <c r="L4" t="s">
        <v>13</v>
      </c>
    </row>
    <row r="5" spans="1:13" x14ac:dyDescent="0.25">
      <c r="A5" t="s">
        <v>1</v>
      </c>
      <c r="B5" s="1">
        <v>1</v>
      </c>
      <c r="C5" s="1">
        <v>4.0920497661172901E-2</v>
      </c>
      <c r="D5" s="2">
        <v>99</v>
      </c>
      <c r="F5" s="1">
        <v>1</v>
      </c>
      <c r="G5" s="1">
        <v>2.2143690089170699E-2</v>
      </c>
      <c r="H5" s="2">
        <v>263</v>
      </c>
      <c r="I5" s="1"/>
      <c r="J5" s="1">
        <v>1</v>
      </c>
      <c r="K5" s="1">
        <v>2.7373860429130901E-2</v>
      </c>
      <c r="L5" s="2">
        <v>151</v>
      </c>
      <c r="M5" s="1"/>
    </row>
    <row r="6" spans="1:13" x14ac:dyDescent="0.25">
      <c r="A6" t="s">
        <v>3</v>
      </c>
      <c r="B6" s="1">
        <v>0.81634849290398503</v>
      </c>
      <c r="C6" s="1">
        <v>3.2413174909631297E-2</v>
      </c>
      <c r="D6" s="2">
        <v>100</v>
      </c>
      <c r="F6" s="1">
        <v>0.66873616252942802</v>
      </c>
      <c r="G6" s="1">
        <v>4.7573483707104798E-2</v>
      </c>
      <c r="H6" s="2">
        <v>57</v>
      </c>
      <c r="I6" s="1"/>
      <c r="J6" s="1">
        <v>0.32331849127752699</v>
      </c>
      <c r="K6" s="1">
        <v>1.7923427335956501E-2</v>
      </c>
      <c r="L6" s="2">
        <v>125</v>
      </c>
      <c r="M6" s="1"/>
    </row>
    <row r="7" spans="1:13" x14ac:dyDescent="0.25">
      <c r="A7" t="s">
        <v>4</v>
      </c>
      <c r="B7" s="1">
        <v>0.76041995302976495</v>
      </c>
      <c r="C7" s="1">
        <v>3.8315619654772197E-2</v>
      </c>
      <c r="D7" s="2">
        <v>71</v>
      </c>
      <c r="F7" s="1">
        <v>0.67998198452311898</v>
      </c>
      <c r="G7" s="1">
        <v>4.1863027852245001E-2</v>
      </c>
      <c r="H7" s="2">
        <v>48</v>
      </c>
      <c r="I7" s="1"/>
      <c r="J7" s="1">
        <v>0.20662535212060501</v>
      </c>
      <c r="K7" s="1">
        <v>4.77294650294059E-2</v>
      </c>
      <c r="L7" s="2">
        <v>78</v>
      </c>
      <c r="M7" s="1"/>
    </row>
    <row r="8" spans="1:13" x14ac:dyDescent="0.25">
      <c r="A8" t="s">
        <v>5</v>
      </c>
      <c r="B8" s="1">
        <v>0.75715303991781402</v>
      </c>
      <c r="C8" s="1">
        <v>4.4150137005935203E-2</v>
      </c>
      <c r="D8" s="2">
        <v>70</v>
      </c>
      <c r="F8" s="1">
        <v>0.72028364816938195</v>
      </c>
      <c r="G8" s="1">
        <v>2.7019433339250401E-2</v>
      </c>
      <c r="H8" s="2">
        <v>82</v>
      </c>
      <c r="I8" s="1"/>
      <c r="J8" s="1"/>
      <c r="K8" s="1"/>
      <c r="L8" s="2"/>
      <c r="M8" s="1"/>
    </row>
    <row r="9" spans="1:13" x14ac:dyDescent="0.25">
      <c r="A9" t="s">
        <v>6</v>
      </c>
      <c r="B9" s="1">
        <v>0.80732964820444297</v>
      </c>
      <c r="C9" s="1">
        <v>3.3310404548304702E-2</v>
      </c>
      <c r="D9" s="2">
        <v>98</v>
      </c>
      <c r="F9" s="1">
        <v>0.78843040842448198</v>
      </c>
      <c r="G9" s="1">
        <v>2.98773820410543E-2</v>
      </c>
      <c r="H9" s="2">
        <v>83</v>
      </c>
      <c r="I9" s="1"/>
      <c r="J9" s="1"/>
      <c r="K9" s="1"/>
      <c r="L9" s="2"/>
      <c r="M9" s="1"/>
    </row>
    <row r="10" spans="1:13" x14ac:dyDescent="0.25">
      <c r="A10" t="s">
        <v>7</v>
      </c>
      <c r="B10" s="1">
        <v>0.80076885752628402</v>
      </c>
      <c r="C10" s="1">
        <v>2.9395431868234002E-2</v>
      </c>
      <c r="D10" s="2">
        <v>118</v>
      </c>
      <c r="F10" s="1">
        <v>0.74454225010558295</v>
      </c>
      <c r="G10" s="1">
        <v>3.1920362950169298E-2</v>
      </c>
      <c r="H10" s="2">
        <v>85</v>
      </c>
      <c r="I10" s="1"/>
      <c r="J10" s="1"/>
      <c r="K10" s="1"/>
      <c r="L10" s="2"/>
      <c r="M10" s="1"/>
    </row>
    <row r="11" spans="1:13" x14ac:dyDescent="0.25">
      <c r="A11" t="s">
        <v>8</v>
      </c>
      <c r="B11" s="1">
        <v>0.84517800163086099</v>
      </c>
      <c r="C11" s="1">
        <v>3.7410476027604903E-2</v>
      </c>
      <c r="D11">
        <v>96</v>
      </c>
      <c r="F11" s="1">
        <v>0.83252078155813702</v>
      </c>
      <c r="G11" s="1">
        <v>3.3667784693842698E-2</v>
      </c>
      <c r="H11">
        <v>70</v>
      </c>
      <c r="J11" s="1"/>
      <c r="K1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8AE2-627A-4393-9605-D8268C247C06}">
  <dimension ref="A1:L11"/>
  <sheetViews>
    <sheetView workbookViewId="0"/>
  </sheetViews>
  <sheetFormatPr defaultRowHeight="15" x14ac:dyDescent="0.25"/>
  <cols>
    <col min="1" max="1" width="19" bestFit="1" customWidth="1"/>
    <col min="2" max="2" width="11.42578125" bestFit="1" customWidth="1"/>
    <col min="6" max="6" width="11.42578125" bestFit="1" customWidth="1"/>
    <col min="10" max="10" width="11.42578125" bestFit="1" customWidth="1"/>
  </cols>
  <sheetData>
    <row r="1" spans="1:12" x14ac:dyDescent="0.25">
      <c r="A1" s="3" t="s">
        <v>14</v>
      </c>
    </row>
    <row r="2" spans="1:12" x14ac:dyDescent="0.25">
      <c r="A2" t="s">
        <v>0</v>
      </c>
    </row>
    <row r="3" spans="1:12" x14ac:dyDescent="0.25">
      <c r="B3" t="s">
        <v>15</v>
      </c>
      <c r="F3" t="s">
        <v>2</v>
      </c>
      <c r="J3" t="s">
        <v>10</v>
      </c>
    </row>
    <row r="4" spans="1:12" x14ac:dyDescent="0.25">
      <c r="B4" t="s">
        <v>11</v>
      </c>
      <c r="C4" t="s">
        <v>12</v>
      </c>
      <c r="D4" t="s">
        <v>13</v>
      </c>
      <c r="F4" t="s">
        <v>11</v>
      </c>
      <c r="G4" t="s">
        <v>12</v>
      </c>
      <c r="H4" t="s">
        <v>13</v>
      </c>
      <c r="J4" t="s">
        <v>11</v>
      </c>
      <c r="K4" t="s">
        <v>12</v>
      </c>
      <c r="L4" t="s">
        <v>13</v>
      </c>
    </row>
    <row r="5" spans="1:12" x14ac:dyDescent="0.25">
      <c r="A5" t="s">
        <v>1</v>
      </c>
      <c r="B5" s="1">
        <v>1</v>
      </c>
      <c r="C5" s="1">
        <v>3.7693871812769501E-2</v>
      </c>
      <c r="D5" s="2">
        <v>99</v>
      </c>
      <c r="E5" s="1"/>
      <c r="F5" s="1">
        <v>1</v>
      </c>
      <c r="G5" s="1">
        <v>2.1200634066393199E-2</v>
      </c>
      <c r="H5" s="2">
        <v>263</v>
      </c>
      <c r="I5" s="1"/>
      <c r="J5" s="1">
        <v>1</v>
      </c>
      <c r="K5" s="1">
        <v>2.6950473155357899E-2</v>
      </c>
      <c r="L5" s="2">
        <v>151</v>
      </c>
    </row>
    <row r="6" spans="1:12" x14ac:dyDescent="0.25">
      <c r="A6" t="s">
        <v>3</v>
      </c>
      <c r="B6" s="1">
        <v>1.02632001345401</v>
      </c>
      <c r="C6" s="1">
        <v>4.0230901267305698E-2</v>
      </c>
      <c r="D6" s="2">
        <v>100</v>
      </c>
      <c r="E6" s="1"/>
      <c r="F6" s="1">
        <v>1.1204101221840099</v>
      </c>
      <c r="G6" s="1">
        <v>4.00902693585505E-2</v>
      </c>
      <c r="H6" s="2">
        <v>106</v>
      </c>
      <c r="I6" s="1"/>
      <c r="J6" s="1">
        <v>1.17585957619908</v>
      </c>
      <c r="K6" s="1">
        <v>3.29512523535564E-2</v>
      </c>
      <c r="L6" s="2">
        <v>125</v>
      </c>
    </row>
    <row r="7" spans="1:12" x14ac:dyDescent="0.25">
      <c r="A7" t="s">
        <v>4</v>
      </c>
      <c r="B7" s="1">
        <v>1.06133016325509</v>
      </c>
      <c r="C7" s="1">
        <v>4.5031590346717401E-2</v>
      </c>
      <c r="D7" s="2">
        <v>71</v>
      </c>
      <c r="E7" s="1"/>
      <c r="F7" s="1">
        <v>1.18479720424686</v>
      </c>
      <c r="G7" s="1">
        <v>4.2533312488155499E-2</v>
      </c>
      <c r="H7" s="2">
        <v>111</v>
      </c>
      <c r="I7" s="1"/>
      <c r="J7" s="1">
        <v>1.34208922003371</v>
      </c>
      <c r="K7" s="1">
        <v>5.7898354964059102E-2</v>
      </c>
      <c r="L7" s="2">
        <v>78</v>
      </c>
    </row>
    <row r="8" spans="1:12" x14ac:dyDescent="0.25">
      <c r="A8" t="s">
        <v>5</v>
      </c>
      <c r="B8" s="1">
        <v>1.11545786084955</v>
      </c>
      <c r="C8" s="1">
        <v>5.0538247994923201E-2</v>
      </c>
      <c r="D8" s="2">
        <v>70</v>
      </c>
      <c r="E8" s="1"/>
      <c r="F8" s="1">
        <v>1.21146537897173</v>
      </c>
      <c r="G8" s="1">
        <v>4.4275230896584403E-2</v>
      </c>
      <c r="H8" s="2">
        <v>106</v>
      </c>
      <c r="I8" s="1"/>
      <c r="J8" s="1"/>
      <c r="K8" s="1"/>
      <c r="L8" s="2"/>
    </row>
    <row r="9" spans="1:12" x14ac:dyDescent="0.25">
      <c r="A9" t="s">
        <v>6</v>
      </c>
      <c r="B9" s="1">
        <v>1.1237079105055301</v>
      </c>
      <c r="C9" s="1">
        <v>3.9762271843017602E-2</v>
      </c>
      <c r="D9" s="2">
        <v>98</v>
      </c>
      <c r="E9" s="1"/>
      <c r="F9" s="1">
        <v>1.2364526114375001</v>
      </c>
      <c r="G9" s="1">
        <v>4.1265302056760697E-2</v>
      </c>
      <c r="H9" s="2">
        <v>103</v>
      </c>
      <c r="I9" s="1"/>
      <c r="J9" s="1"/>
      <c r="K9" s="1"/>
      <c r="L9" s="2"/>
    </row>
    <row r="10" spans="1:12" x14ac:dyDescent="0.25">
      <c r="A10" t="s">
        <v>7</v>
      </c>
      <c r="B10" s="1">
        <v>1.0981974927746101</v>
      </c>
      <c r="C10" s="1">
        <v>3.9533568420710402E-2</v>
      </c>
      <c r="D10" s="2">
        <v>118</v>
      </c>
      <c r="E10" s="1"/>
      <c r="F10" s="1">
        <v>1.1912452917273599</v>
      </c>
      <c r="G10" s="1">
        <v>3.4905387164185397E-2</v>
      </c>
      <c r="H10" s="2">
        <v>123</v>
      </c>
      <c r="I10" s="1"/>
      <c r="J10" s="1"/>
      <c r="K10" s="1"/>
      <c r="L10" s="2"/>
    </row>
    <row r="11" spans="1:12" x14ac:dyDescent="0.25">
      <c r="A11" t="s">
        <v>8</v>
      </c>
      <c r="B11" s="1">
        <v>1.09973244393252</v>
      </c>
      <c r="C11" s="1">
        <v>4.1280642712270901E-2</v>
      </c>
      <c r="D11">
        <v>96</v>
      </c>
      <c r="F11" s="1">
        <v>1.21050084907966</v>
      </c>
      <c r="G11" s="1">
        <v>3.6633527513355503E-2</v>
      </c>
      <c r="H11">
        <v>104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BAA5-4450-43C9-A4D5-26C1F0A3B28C}">
  <dimension ref="A1:L35"/>
  <sheetViews>
    <sheetView topLeftCell="A16" workbookViewId="0">
      <selection activeCell="K29" sqref="K29"/>
    </sheetView>
  </sheetViews>
  <sheetFormatPr defaultRowHeight="15" x14ac:dyDescent="0.25"/>
  <cols>
    <col min="1" max="1" width="58.85546875" bestFit="1" customWidth="1"/>
    <col min="3" max="3" width="10" bestFit="1" customWidth="1"/>
    <col min="4" max="4" width="9.42578125" customWidth="1"/>
    <col min="7" max="10" width="49.85546875" bestFit="1" customWidth="1"/>
    <col min="11" max="12" width="49" customWidth="1"/>
  </cols>
  <sheetData>
    <row r="1" spans="1:12" x14ac:dyDescent="0.25">
      <c r="A1" s="8" t="s">
        <v>16</v>
      </c>
    </row>
    <row r="2" spans="1:12" x14ac:dyDescent="0.25">
      <c r="A2" t="s">
        <v>17</v>
      </c>
      <c r="B2" s="3" t="s">
        <v>18</v>
      </c>
      <c r="C2">
        <v>0.05</v>
      </c>
    </row>
    <row r="3" spans="1:12" x14ac:dyDescent="0.25">
      <c r="B3" s="3"/>
    </row>
    <row r="4" spans="1:12" x14ac:dyDescent="0.25">
      <c r="B4" t="s">
        <v>19</v>
      </c>
      <c r="C4" t="s">
        <v>20</v>
      </c>
      <c r="D4" t="s">
        <v>13</v>
      </c>
    </row>
    <row r="5" spans="1:12" x14ac:dyDescent="0.25">
      <c r="A5" t="s">
        <v>21</v>
      </c>
      <c r="B5" s="1">
        <f>'CME density'!B5</f>
        <v>1</v>
      </c>
      <c r="C5" s="1">
        <f>'CME density'!C5*SQRT('ANOVA (ΔP=-0.025 M)'!D5)</f>
        <v>0.40715381093017861</v>
      </c>
      <c r="D5">
        <f>'CME density'!D5</f>
        <v>99</v>
      </c>
    </row>
    <row r="6" spans="1:12" x14ac:dyDescent="0.25">
      <c r="A6" t="s">
        <v>54</v>
      </c>
      <c r="B6" s="1">
        <f>'CME density'!B6</f>
        <v>0.81634849290398503</v>
      </c>
      <c r="C6" s="1">
        <f>'CME density'!C6*SQRT('ANOVA (ΔP=-0.025 M)'!D6)</f>
        <v>0.32413174909631298</v>
      </c>
      <c r="D6">
        <f>'CME density'!D6</f>
        <v>100</v>
      </c>
    </row>
    <row r="7" spans="1:12" x14ac:dyDescent="0.25">
      <c r="A7" t="s">
        <v>55</v>
      </c>
      <c r="B7" s="1">
        <f>'CME density'!B7</f>
        <v>0.76041995302976495</v>
      </c>
      <c r="C7" s="1">
        <f>'CME density'!C7*SQRT('ANOVA (ΔP=-0.025 M)'!D7)</f>
        <v>0.32285314986317037</v>
      </c>
      <c r="D7">
        <f>'CME density'!D7</f>
        <v>71</v>
      </c>
    </row>
    <row r="8" spans="1:12" x14ac:dyDescent="0.25">
      <c r="A8" t="s">
        <v>56</v>
      </c>
      <c r="B8" s="1">
        <f>'CME density'!B8</f>
        <v>0.75715303991781402</v>
      </c>
      <c r="C8" s="1">
        <f>'CME density'!C8*SQRT('ANOVA (ΔP=-0.025 M)'!D8)</f>
        <v>0.3693865479886882</v>
      </c>
      <c r="D8">
        <f>'CME density'!D8</f>
        <v>70</v>
      </c>
    </row>
    <row r="9" spans="1:12" x14ac:dyDescent="0.25">
      <c r="A9" t="s">
        <v>57</v>
      </c>
      <c r="B9" s="1">
        <f>'CME density'!B9</f>
        <v>0.80732964820444297</v>
      </c>
      <c r="C9" s="1">
        <f>'CME density'!C9*SQRT('ANOVA (ΔP=-0.025 M)'!D9)</f>
        <v>0.32975618116242861</v>
      </c>
      <c r="D9">
        <f>'CME density'!D9</f>
        <v>98</v>
      </c>
    </row>
    <row r="10" spans="1:12" x14ac:dyDescent="0.25">
      <c r="A10" t="s">
        <v>58</v>
      </c>
      <c r="B10" s="1">
        <f>'CME density'!B10</f>
        <v>0.80076885752628402</v>
      </c>
      <c r="C10" s="1">
        <f>'CME density'!C10*SQRT('ANOVA (ΔP=-0.025 M)'!D10)</f>
        <v>0.31931612382865743</v>
      </c>
      <c r="D10">
        <f>'CME density'!D10</f>
        <v>118</v>
      </c>
    </row>
    <row r="11" spans="1:12" x14ac:dyDescent="0.25">
      <c r="A11" t="s">
        <v>59</v>
      </c>
      <c r="B11" s="1">
        <f>'CME density'!B11</f>
        <v>0.84517800163086099</v>
      </c>
      <c r="C11" s="1">
        <f>'CME density'!C11*SQRT('ANOVA (ΔP=-0.025 M)'!D11)</f>
        <v>0.36654630920901671</v>
      </c>
      <c r="D11">
        <f>'CME density'!D11</f>
        <v>96</v>
      </c>
    </row>
    <row r="12" spans="1:12" x14ac:dyDescent="0.25">
      <c r="G12" t="s">
        <v>27</v>
      </c>
      <c r="H12" t="s">
        <v>28</v>
      </c>
      <c r="I12" t="s">
        <v>29</v>
      </c>
      <c r="J12" t="s">
        <v>30</v>
      </c>
      <c r="K12" t="s">
        <v>31</v>
      </c>
      <c r="L12" t="s">
        <v>61</v>
      </c>
    </row>
    <row r="13" spans="1:12" x14ac:dyDescent="0.25">
      <c r="A13" t="s">
        <v>32</v>
      </c>
      <c r="B13" t="s">
        <v>33</v>
      </c>
      <c r="C13">
        <f>($D5*$B5+$D6*$B6+$D7*$B7+$D8*$B8+$D9*$B9+$D10*$B10+$D11*$B11)/($D5+$D6+$D7+$D8+$D9+$D10+$D11)</f>
        <v>0.83185812518168467</v>
      </c>
      <c r="G13">
        <f>($D5*$B5+$D6*$B6)/($D5+$D6)</f>
        <v>0.90771281050451513</v>
      </c>
      <c r="H13">
        <f>($D5*$B5+$D7*$B7)/($D5+$D7)</f>
        <v>0.89994009803007835</v>
      </c>
      <c r="I13">
        <f>($D5*$B5+$D8*$B8)/($D5+$D8)</f>
        <v>0.89941250174110632</v>
      </c>
      <c r="J13">
        <f>($D5*$B5+$D9*$B9)/($D5+$D9)</f>
        <v>0.9041538351473879</v>
      </c>
      <c r="K13">
        <f>($D5*$B5+$D10*$B10)/($D5+$D10)</f>
        <v>0.89166232805576739</v>
      </c>
      <c r="L13">
        <f>($D5*$B5+$D11*$B11)/($D5+$D11)</f>
        <v>0.92377993926442381</v>
      </c>
    </row>
    <row r="14" spans="1:12" x14ac:dyDescent="0.25">
      <c r="A14" t="s">
        <v>34</v>
      </c>
      <c r="B14" t="s">
        <v>35</v>
      </c>
      <c r="C14">
        <v>6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12" x14ac:dyDescent="0.25">
      <c r="A15" t="s">
        <v>36</v>
      </c>
      <c r="B15" t="s">
        <v>37</v>
      </c>
      <c r="C15">
        <f>($D5*($B5-C13)^2+$D6*($B6-C13)^2+$D7*($B7-C13)^2+$D8*($B8-C13)^2+$D9*($B9-C13)^2+$D10*($B10-C13)^2+$D11*($B11-C13)^2)/C14</f>
        <v>0.62766658926691832</v>
      </c>
      <c r="G15">
        <f>($D5*($B5-G13)^2+$D6*($B6-G13)^2)/G14</f>
        <v>1.6779194622136311</v>
      </c>
      <c r="H15">
        <f>($D5*($B5-H13)^2+$D7*($B7-H13)^2)/H14</f>
        <v>2.3732632453653046</v>
      </c>
      <c r="I15">
        <f>($D5*($B5-I13)^2+$D8*($B8-I13)^2)/I14</f>
        <v>2.4183094492700041</v>
      </c>
      <c r="J15">
        <f>($D5*($B5-J13)^2+$D9*($B9-J13)^2)/J14</f>
        <v>1.8282047157403654</v>
      </c>
      <c r="K15">
        <f>($D5*($B5-K13)^2+$D10*($B10-K13)^2)/K14</f>
        <v>2.1368395772848197</v>
      </c>
      <c r="L15">
        <f>($D5*($B5-L13)^2+$D10*($B11-L13)^2)/L14</f>
        <v>1.3041754909655161</v>
      </c>
    </row>
    <row r="16" spans="1:12" x14ac:dyDescent="0.25">
      <c r="A16" t="s">
        <v>38</v>
      </c>
      <c r="B16" t="s">
        <v>39</v>
      </c>
      <c r="C16" s="4">
        <f>SUM($D5:$D11)-C14-1</f>
        <v>645</v>
      </c>
      <c r="G16" s="4">
        <f>$D5+$D6-G14-1</f>
        <v>197</v>
      </c>
      <c r="H16" s="4">
        <f>$D5+$D7-H14-1</f>
        <v>168</v>
      </c>
      <c r="I16" s="4">
        <f>$D5+$D8-I14-1</f>
        <v>167</v>
      </c>
      <c r="J16" s="4">
        <f>$D5+$D9-J14-1</f>
        <v>195</v>
      </c>
      <c r="K16" s="4">
        <f>$D5+$D10-K14-1</f>
        <v>215</v>
      </c>
      <c r="L16" s="4">
        <f>$D5+$D11-L14-1</f>
        <v>193</v>
      </c>
    </row>
    <row r="17" spans="1:12" x14ac:dyDescent="0.25">
      <c r="A17" t="s">
        <v>40</v>
      </c>
      <c r="B17" t="s">
        <v>41</v>
      </c>
      <c r="C17">
        <f>(($D5-1)*$C5^2+($D6-1)*$C6^2+($D7-1)*$C7^2+($D8-1)*$C8^2+($D9-1)*$C9^2+($D10-1)*$C10^2+($D11-1)*$C11^2)/C16</f>
        <v>0.12185942188368525</v>
      </c>
      <c r="G17">
        <f>(($D5-1)*$C5^2+($D6-1)*$C6^2)/G16</f>
        <v>0.13526371477379753</v>
      </c>
      <c r="H17">
        <f>(($D5-1)*$C5^2+($D7-1)*$C7^2)/H16</f>
        <v>0.14013253018063562</v>
      </c>
      <c r="I17">
        <f>(($D5-1)*$C5^2+($D8-1)*$C8^2)/I16</f>
        <v>0.15365674988384306</v>
      </c>
      <c r="J17">
        <f>(($D5-1)*$C5^2+($D9-1)*$C9^2)/J16</f>
        <v>0.13740292619705224</v>
      </c>
      <c r="K17">
        <f>(($D5-1)*$C5^2+($D10-1)*$C10^2)/K16</f>
        <v>0.13104893114237662</v>
      </c>
      <c r="L17">
        <f>(($D5-1)*$C5^2+($D11-1)*$C11^2)/L16</f>
        <v>0.15030939284708952</v>
      </c>
    </row>
    <row r="18" spans="1:12" x14ac:dyDescent="0.25">
      <c r="A18" t="s">
        <v>42</v>
      </c>
      <c r="B18" t="s">
        <v>43</v>
      </c>
      <c r="C18">
        <f>C15/C17</f>
        <v>5.150743205281457</v>
      </c>
      <c r="G18">
        <f>G15/G17</f>
        <v>12.404800984651558</v>
      </c>
      <c r="H18">
        <f t="shared" ref="H18:L18" si="0">H15/H17</f>
        <v>16.935848102550402</v>
      </c>
      <c r="I18">
        <f t="shared" si="0"/>
        <v>15.738387354269351</v>
      </c>
      <c r="J18">
        <f t="shared" si="0"/>
        <v>13.305427812494335</v>
      </c>
      <c r="K18">
        <f t="shared" si="0"/>
        <v>16.305662004700174</v>
      </c>
      <c r="L18">
        <f t="shared" si="0"/>
        <v>8.6766067393556714</v>
      </c>
    </row>
    <row r="19" spans="1:12" x14ac:dyDescent="0.25">
      <c r="A19" t="s">
        <v>44</v>
      </c>
      <c r="B19" t="s">
        <v>45</v>
      </c>
      <c r="C19">
        <f>_xlfn.F.INV.RT($C2,C14,C16)</f>
        <v>2.1126187087080828</v>
      </c>
      <c r="G19">
        <f>_xlfn.F.INV.RT($C2,G14,G16)</f>
        <v>3.8890957154687524</v>
      </c>
      <c r="H19">
        <f t="shared" ref="H19:K19" si="1">_xlfn.F.INV.RT($C2,H14,H16)</f>
        <v>3.8974071689296022</v>
      </c>
      <c r="I19">
        <f t="shared" si="1"/>
        <v>3.8977458117644721</v>
      </c>
      <c r="J19">
        <f t="shared" si="1"/>
        <v>3.8895888198396515</v>
      </c>
      <c r="K19">
        <f t="shared" si="1"/>
        <v>3.8850740629462561</v>
      </c>
      <c r="L19">
        <f t="shared" ref="L19" si="2">_xlfn.F.INV.RT($C2,L14,L16)</f>
        <v>3.8900922393472754</v>
      </c>
    </row>
    <row r="20" spans="1:12" x14ac:dyDescent="0.25">
      <c r="A20" t="s">
        <v>46</v>
      </c>
      <c r="B20" t="s">
        <v>47</v>
      </c>
      <c r="C20">
        <f>1-_xlfn.F.DIST(C18,C14,C16,TRUE)</f>
        <v>3.4770591687660612E-5</v>
      </c>
      <c r="G20">
        <f>1-_xlfn.F.DIST(G18,G14,G16,TRUE)</f>
        <v>5.3212988922046733E-4</v>
      </c>
      <c r="H20">
        <f t="shared" ref="H20:K20" si="3">1-_xlfn.F.DIST(H18,H14,H16,TRUE)</f>
        <v>6.046608260978914E-5</v>
      </c>
      <c r="I20">
        <f t="shared" si="3"/>
        <v>1.0775727380285538E-4</v>
      </c>
      <c r="J20">
        <f t="shared" si="3"/>
        <v>3.395849019920405E-4</v>
      </c>
      <c r="K20">
        <f t="shared" si="3"/>
        <v>7.4987478414278996E-5</v>
      </c>
      <c r="L20">
        <f t="shared" ref="L20" si="4">1-_xlfn.F.DIST(L18,L14,L16,TRUE)</f>
        <v>3.6197591644739902E-3</v>
      </c>
    </row>
    <row r="22" spans="1:12" ht="30" x14ac:dyDescent="0.25">
      <c r="A22" s="5" t="s">
        <v>48</v>
      </c>
      <c r="G22" s="6" t="s">
        <v>51</v>
      </c>
      <c r="H22" s="6" t="s">
        <v>52</v>
      </c>
      <c r="I22" s="6" t="s">
        <v>53</v>
      </c>
      <c r="J22" s="6" t="s">
        <v>62</v>
      </c>
      <c r="K22" s="6" t="s">
        <v>63</v>
      </c>
      <c r="L22" s="6" t="s">
        <v>63</v>
      </c>
    </row>
    <row r="25" spans="1:12" x14ac:dyDescent="0.25">
      <c r="A25" s="8" t="s">
        <v>70</v>
      </c>
      <c r="G25" t="s">
        <v>73</v>
      </c>
      <c r="H25" t="s">
        <v>64</v>
      </c>
      <c r="I25" t="s">
        <v>67</v>
      </c>
      <c r="J25" t="s">
        <v>66</v>
      </c>
      <c r="K25" t="s">
        <v>65</v>
      </c>
    </row>
    <row r="26" spans="1:12" x14ac:dyDescent="0.25">
      <c r="B26" t="s">
        <v>33</v>
      </c>
      <c r="C26">
        <f>($D6*$B6+$D7*$B7+$D8*$B8+$D9*$B9+$D10*$B10+$D11*$B11)/($D6+$D7+$D8+$D9+$D10+$D11)</f>
        <v>0.80175677688690483</v>
      </c>
      <c r="G26">
        <f>($D11*$B11+$D6*$B6)/($D11+$D6)</f>
        <v>0.83046906860694458</v>
      </c>
      <c r="H26">
        <f>($D11*$B11+$D7*$B7)/($D11+$D7)</f>
        <v>0.80914314264476628</v>
      </c>
      <c r="I26">
        <f>($D11*$B11+$D8*$B8)/($D11+$D8)</f>
        <v>0.80805904187234723</v>
      </c>
      <c r="J26">
        <f>($D11*$B11+$D9*$B9)/($D11+$D9)</f>
        <v>0.8260587303123611</v>
      </c>
      <c r="K26">
        <f>($D11*$B11+$D10*$B10)/($D11+$D10)</f>
        <v>0.82069071656385117</v>
      </c>
    </row>
    <row r="27" spans="1:12" x14ac:dyDescent="0.25">
      <c r="B27" t="s">
        <v>35</v>
      </c>
      <c r="C27">
        <v>5</v>
      </c>
      <c r="G27">
        <v>1</v>
      </c>
      <c r="H27">
        <v>1</v>
      </c>
      <c r="I27">
        <v>1</v>
      </c>
      <c r="J27">
        <v>1</v>
      </c>
      <c r="K27">
        <v>1</v>
      </c>
    </row>
    <row r="28" spans="1:12" x14ac:dyDescent="0.25">
      <c r="B28" t="s">
        <v>37</v>
      </c>
      <c r="C28">
        <f>($D6*($B6-C26)^2+$D7*($B7-C26)^2+$D8*($B8-C26)^2+$D9*($B9-C26)^2+$D10*($B10-C26)^2+$D11*($B11-C26)^2)/C27</f>
        <v>9.3206760475926048E-2</v>
      </c>
      <c r="G28">
        <f>($D11*($B11-$G26)^2+$D6*($B6-$G26)^2)/G27</f>
        <v>4.0708926045698778E-2</v>
      </c>
      <c r="H28">
        <f>($D11*($B11-$H26)^2+$D7*($B7-$H26)^2)/H27</f>
        <v>0.29320745561059763</v>
      </c>
      <c r="I28">
        <f>($D11*($B11-$I26)^2+$D8*($B8-$I26)^2)/I27</f>
        <v>0.31366992111084546</v>
      </c>
      <c r="J28">
        <f>($D11*($B11-$J26)^2+$D9*($B9-$J26)^2)/J27</f>
        <v>6.94687620593432E-2</v>
      </c>
      <c r="K28">
        <f>($D11*($B11-$K26)^2+$D10*($B10-$K26)^2)/K27</f>
        <v>0.10439609964198633</v>
      </c>
    </row>
    <row r="29" spans="1:12" x14ac:dyDescent="0.25">
      <c r="B29" t="s">
        <v>39</v>
      </c>
      <c r="C29">
        <f>SUM($D6:$D11)-C27-1</f>
        <v>547</v>
      </c>
      <c r="G29" s="4">
        <f>$D11+$D6-$G27-1</f>
        <v>194</v>
      </c>
      <c r="H29" s="4">
        <f>$D11+$D7-$G27-1</f>
        <v>165</v>
      </c>
      <c r="I29" s="4">
        <f>$D11+$D8-$G27-1</f>
        <v>164</v>
      </c>
      <c r="J29" s="4">
        <f>$D11+$D9-$G27-1</f>
        <v>192</v>
      </c>
      <c r="K29" s="4">
        <f>$D11+$D10-$G27-1</f>
        <v>212</v>
      </c>
    </row>
    <row r="30" spans="1:12" x14ac:dyDescent="0.25">
      <c r="B30" t="s">
        <v>41</v>
      </c>
      <c r="C30">
        <f>(($D6-1)*$C6^2+($D7-1)*$C7^2+($D8-1)*$C8^2+($D9-1)*$C9^2+($D10-1)*$C10^2+($D11-1)*$C11^2)/C29</f>
        <v>0.113991687369269</v>
      </c>
      <c r="G30">
        <f>(($D11-1)*$C11^2+($D6-1)*$C6^2)/$G29</f>
        <v>0.11940678547398316</v>
      </c>
      <c r="H30">
        <f>(($D11-1)*$C11^2+($D7-1)*$C7^2)/$G29</f>
        <v>0.10340324557660516</v>
      </c>
      <c r="I30">
        <f>(($D11-1)*$C11^2+($D8-1)*$C8^2)/$G29</f>
        <v>0.11432289588719799</v>
      </c>
      <c r="J30">
        <f>(($D11-1)*$C11^2+($D9-1)*$C9^2)/$G29</f>
        <v>0.12016255247391652</v>
      </c>
      <c r="K30">
        <f>(($D11-1)*$C11^2+($D10-1)*$C10^2)/$G29</f>
        <v>0.12728600395425563</v>
      </c>
    </row>
    <row r="31" spans="1:12" x14ac:dyDescent="0.25">
      <c r="B31" t="s">
        <v>43</v>
      </c>
      <c r="C31">
        <f>C28/C30</f>
        <v>0.81766278425187733</v>
      </c>
      <c r="G31">
        <f>G28/G30</f>
        <v>0.34092640450963824</v>
      </c>
      <c r="H31">
        <f t="shared" ref="H31:K31" si="5">H28/H30</f>
        <v>2.8355730419832725</v>
      </c>
      <c r="I31">
        <f t="shared" si="5"/>
        <v>2.743719170832958</v>
      </c>
      <c r="J31">
        <f t="shared" si="5"/>
        <v>0.57812322249415149</v>
      </c>
      <c r="K31">
        <f t="shared" si="5"/>
        <v>0.82016951117032844</v>
      </c>
    </row>
    <row r="32" spans="1:12" x14ac:dyDescent="0.25">
      <c r="B32" t="s">
        <v>45</v>
      </c>
      <c r="C32">
        <f>_xlfn.F.INV.RT($C2,C27,C29)</f>
        <v>2.2304948877746136</v>
      </c>
      <c r="G32">
        <f>_xlfn.F.INV.RT($C2,G27,G29)</f>
        <v>3.8898392200776257</v>
      </c>
      <c r="H32">
        <f>_xlfn.F.INV.RT($C2,H27,H29)</f>
        <v>3.8984355461909121</v>
      </c>
      <c r="I32">
        <f>_xlfn.F.INV.RT($C2,I27,I29)</f>
        <v>3.8987867912606178</v>
      </c>
      <c r="J32">
        <f t="shared" ref="H32:K32" si="6">_xlfn.F.INV.RT($G28,J27,J29)</f>
        <v>4.2452431365386634</v>
      </c>
      <c r="K32">
        <f t="shared" si="6"/>
        <v>4.2398024310031737</v>
      </c>
    </row>
    <row r="33" spans="1:11" x14ac:dyDescent="0.25">
      <c r="B33" t="s">
        <v>47</v>
      </c>
      <c r="C33">
        <f>1-_xlfn.F.DIST(C31,C27,C29,TRUE)</f>
        <v>0.53734923216170571</v>
      </c>
      <c r="G33">
        <f>1-_xlfn.F.DIST(G31,G27,G29,TRUE)</f>
        <v>0.5599732453811731</v>
      </c>
      <c r="H33">
        <f t="shared" ref="H33:K33" si="7">1-_xlfn.F.DIST(H31,H27,H29,TRUE)</f>
        <v>9.4088757557758695E-2</v>
      </c>
      <c r="I33">
        <f t="shared" si="7"/>
        <v>9.9549301663409695E-2</v>
      </c>
      <c r="J33">
        <f t="shared" si="7"/>
        <v>0.44798158217233286</v>
      </c>
      <c r="K33">
        <f t="shared" si="7"/>
        <v>0.36615870450816923</v>
      </c>
    </row>
    <row r="35" spans="1:11" ht="30" x14ac:dyDescent="0.25">
      <c r="A35" s="7" t="s">
        <v>71</v>
      </c>
      <c r="G35" s="6" t="s">
        <v>77</v>
      </c>
      <c r="H35" s="6" t="s">
        <v>69</v>
      </c>
      <c r="I35" s="6" t="s">
        <v>78</v>
      </c>
      <c r="J35" s="6" t="s">
        <v>79</v>
      </c>
      <c r="K35" s="6" t="s">
        <v>76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D40A-A8E4-4CE2-9BFC-9721D64359C0}">
  <dimension ref="A1:L35"/>
  <sheetViews>
    <sheetView topLeftCell="C13" workbookViewId="0">
      <selection activeCell="J36" sqref="J36"/>
    </sheetView>
  </sheetViews>
  <sheetFormatPr defaultRowHeight="15" x14ac:dyDescent="0.25"/>
  <cols>
    <col min="1" max="1" width="58.85546875" bestFit="1" customWidth="1"/>
    <col min="3" max="3" width="10" bestFit="1" customWidth="1"/>
    <col min="4" max="4" width="9.42578125" customWidth="1"/>
    <col min="7" max="10" width="49.85546875" bestFit="1" customWidth="1"/>
    <col min="11" max="11" width="49" customWidth="1"/>
  </cols>
  <sheetData>
    <row r="1" spans="1:12" x14ac:dyDescent="0.25">
      <c r="A1" t="s">
        <v>16</v>
      </c>
    </row>
    <row r="2" spans="1:12" x14ac:dyDescent="0.25">
      <c r="A2" t="s">
        <v>17</v>
      </c>
      <c r="B2" s="3" t="s">
        <v>18</v>
      </c>
      <c r="C2">
        <v>0.05</v>
      </c>
    </row>
    <row r="3" spans="1:12" x14ac:dyDescent="0.25">
      <c r="B3" s="3"/>
    </row>
    <row r="4" spans="1:12" x14ac:dyDescent="0.25">
      <c r="B4" t="s">
        <v>19</v>
      </c>
      <c r="C4" t="s">
        <v>20</v>
      </c>
      <c r="D4" t="s">
        <v>13</v>
      </c>
    </row>
    <row r="5" spans="1:12" x14ac:dyDescent="0.25">
      <c r="A5" t="s">
        <v>21</v>
      </c>
      <c r="B5" s="1">
        <f>'CME density'!F5</f>
        <v>1</v>
      </c>
      <c r="C5" s="1">
        <f>'CME density'!G5*SQRT('ANOVA (ΔP=-0.05 M)'!D5)</f>
        <v>0.35911030593851972</v>
      </c>
      <c r="D5">
        <f>'CME density'!H5</f>
        <v>263</v>
      </c>
    </row>
    <row r="6" spans="1:12" x14ac:dyDescent="0.25">
      <c r="A6" t="s">
        <v>22</v>
      </c>
      <c r="B6" s="1">
        <f>'CME density'!F6</f>
        <v>0.66873616252942802</v>
      </c>
      <c r="C6" s="1">
        <f>'CME density'!G6*SQRT('ANOVA (ΔP=-0.05 M)'!D6)</f>
        <v>0.35917192549769178</v>
      </c>
      <c r="D6">
        <f>'CME density'!H6</f>
        <v>57</v>
      </c>
    </row>
    <row r="7" spans="1:12" x14ac:dyDescent="0.25">
      <c r="A7" t="s">
        <v>23</v>
      </c>
      <c r="B7" s="1">
        <f>'CME density'!F7</f>
        <v>0.67998198452311898</v>
      </c>
      <c r="C7" s="1">
        <f>'CME density'!G7*SQRT('ANOVA (ΔP=-0.05 M)'!D7)</f>
        <v>0.29003556479503739</v>
      </c>
      <c r="D7">
        <f>'CME density'!H7</f>
        <v>48</v>
      </c>
    </row>
    <row r="8" spans="1:12" x14ac:dyDescent="0.25">
      <c r="A8" t="s">
        <v>24</v>
      </c>
      <c r="B8" s="1">
        <f>'CME density'!F8</f>
        <v>0.72028364816938195</v>
      </c>
      <c r="C8" s="1">
        <f>'CME density'!G8*SQRT('ANOVA (ΔP=-0.05 M)'!D8)</f>
        <v>0.24467137510114273</v>
      </c>
      <c r="D8">
        <f>'CME density'!H8</f>
        <v>82</v>
      </c>
    </row>
    <row r="9" spans="1:12" x14ac:dyDescent="0.25">
      <c r="A9" t="s">
        <v>25</v>
      </c>
      <c r="B9" s="1">
        <f>'CME density'!F9</f>
        <v>0.78843040842448198</v>
      </c>
      <c r="C9" s="1">
        <f>'CME density'!G9*SQRT('ANOVA (ΔP=-0.05 M)'!D9)</f>
        <v>0.27219590460374393</v>
      </c>
      <c r="D9">
        <f>'CME density'!H9</f>
        <v>83</v>
      </c>
    </row>
    <row r="10" spans="1:12" x14ac:dyDescent="0.25">
      <c r="A10" t="s">
        <v>26</v>
      </c>
      <c r="B10" s="1">
        <f>'CME density'!F10</f>
        <v>0.74454225010558295</v>
      </c>
      <c r="C10" s="1">
        <f>'CME density'!G10*SQRT('ANOVA (ΔP=-0.05 M)'!D10)</f>
        <v>0.29429120531201058</v>
      </c>
      <c r="D10">
        <f>'CME density'!H10</f>
        <v>85</v>
      </c>
    </row>
    <row r="11" spans="1:12" x14ac:dyDescent="0.25">
      <c r="A11" t="s">
        <v>60</v>
      </c>
      <c r="B11" s="1">
        <f>'CME density'!F11</f>
        <v>0.83252078155813702</v>
      </c>
      <c r="C11" s="1">
        <f>'CME density'!G11*SQRT('ANOVA (ΔP=-0.05 M)'!D11)</f>
        <v>0.28168489635293975</v>
      </c>
      <c r="D11">
        <f>'CME density'!H11</f>
        <v>70</v>
      </c>
    </row>
    <row r="12" spans="1:12" x14ac:dyDescent="0.25">
      <c r="G12" t="s">
        <v>27</v>
      </c>
      <c r="H12" t="s">
        <v>28</v>
      </c>
      <c r="I12" t="s">
        <v>29</v>
      </c>
      <c r="J12" t="s">
        <v>30</v>
      </c>
      <c r="K12" t="s">
        <v>31</v>
      </c>
      <c r="L12" t="s">
        <v>61</v>
      </c>
    </row>
    <row r="13" spans="1:12" x14ac:dyDescent="0.25">
      <c r="A13" t="s">
        <v>32</v>
      </c>
      <c r="B13" t="s">
        <v>33</v>
      </c>
      <c r="C13">
        <f>($D5*$B5+$D6*$B6+$D7*$B7+$D8*$B8+$D9*$B9+$D10*$B10+$D11*$B11)/($D5+$D6+$D7+$D8+$D9+$D10+$D11)</f>
        <v>0.84276544409658827</v>
      </c>
      <c r="G13">
        <f>($D5*$B5+$D6*$B6)/($D5+$D6)</f>
        <v>0.94099362895055427</v>
      </c>
      <c r="H13">
        <f>($D5*$B5+$D7*$B7)/($D5+$D7)</f>
        <v>0.95060815195212134</v>
      </c>
      <c r="I13">
        <f>($D5*$B5+$D8*$B8)/($D5+$D8)</f>
        <v>0.93351669318808495</v>
      </c>
      <c r="J13">
        <f>($D5*$B5+$D9*$B9)/($D5+$D9)</f>
        <v>0.94924775693419661</v>
      </c>
      <c r="K13">
        <f>($D5*$B5+$D10*$B10)/($D5+$D10)</f>
        <v>0.93760371051429481</v>
      </c>
      <c r="L13">
        <f>($D5*$B5+$D11*$B11)/($D5+$D11)</f>
        <v>0.9647941582854942</v>
      </c>
    </row>
    <row r="14" spans="1:12" x14ac:dyDescent="0.25">
      <c r="A14" t="s">
        <v>34</v>
      </c>
      <c r="B14" t="s">
        <v>35</v>
      </c>
      <c r="C14">
        <v>6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12" x14ac:dyDescent="0.25">
      <c r="A15" t="s">
        <v>36</v>
      </c>
      <c r="B15" t="s">
        <v>37</v>
      </c>
      <c r="C15">
        <f>($D5*($B5-C13)^2+$D6*($B6-C13)^2+$D7*($B7-C13)^2+$D8*($B8-C13)^2+$D9*($B9-C13)^2+$D10*($B10-C13)^2+$D11*($B11-C13)^2)/C14</f>
        <v>1.967151169470764</v>
      </c>
      <c r="G15">
        <f>($D5*($B5-G13)^2+$D6*($B6-G13)^2)/G14</f>
        <v>5.14077602708063</v>
      </c>
      <c r="H15">
        <f>($D5*($B5-H13)^2+$D7*($B7-H13)^2)/H14</f>
        <v>4.157051953763685</v>
      </c>
      <c r="I15">
        <f>($D5*($B5-I13)^2+$D8*($B8-I13)^2)/I14</f>
        <v>4.8908710942739759</v>
      </c>
      <c r="J15">
        <f>($D5*($B5-J13)^2+$D9*($B9-J13)^2)/J14</f>
        <v>2.8239970416240183</v>
      </c>
      <c r="K15">
        <f>($D5*($B5-K13)^2+$D10*($B10-K13)^2)/K14</f>
        <v>4.192118932723865</v>
      </c>
      <c r="L15">
        <f>($D5*($B5-L13)^2+$D10*($B11-L13)^2)/L14</f>
        <v>1.8131566157103332</v>
      </c>
    </row>
    <row r="16" spans="1:12" x14ac:dyDescent="0.25">
      <c r="A16" t="s">
        <v>38</v>
      </c>
      <c r="B16" t="s">
        <v>39</v>
      </c>
      <c r="C16" s="4">
        <f>SUM($D5:$D11)-C14-1</f>
        <v>681</v>
      </c>
      <c r="G16" s="4">
        <f>$D5+$D6-G14-1</f>
        <v>318</v>
      </c>
      <c r="H16" s="4">
        <f>$D5+$D7-H14-1</f>
        <v>309</v>
      </c>
      <c r="I16" s="4">
        <f>$D5+$D8-I14-1</f>
        <v>343</v>
      </c>
      <c r="J16" s="4">
        <f>$D5+$D9-J14-1</f>
        <v>344</v>
      </c>
      <c r="K16" s="4">
        <f>$D5+$D10-K14-1</f>
        <v>346</v>
      </c>
      <c r="L16" s="4">
        <f>$D5+$D11-L14-1</f>
        <v>331</v>
      </c>
    </row>
    <row r="17" spans="1:12" x14ac:dyDescent="0.25">
      <c r="A17" t="s">
        <v>40</v>
      </c>
      <c r="B17" t="s">
        <v>41</v>
      </c>
      <c r="C17">
        <f>(($D5-1)*$C5^2+($D6-1)*$C6^2+($D7-1)*$C7^2+($D8-1)*$C8^2+($D9-1)*$C9^2+($D10-1)*$C10^2+($D11-1)*$C11^2)/C16</f>
        <v>0.10079270306852169</v>
      </c>
      <c r="G17">
        <f>(($D5-1)*$C5^2+($D6-1)*$C6^2)/G16</f>
        <v>0.12896800608638267</v>
      </c>
      <c r="H17">
        <f>(($D5-1)*$C5^2+($D7-1)*$C7^2)/H16</f>
        <v>0.12213995163608507</v>
      </c>
      <c r="I17">
        <f>(($D5-1)*$C5^2+($D8-1)*$C8^2)/I16</f>
        <v>0.11264304992738777</v>
      </c>
      <c r="J17">
        <f>(($D5-1)*$C5^2+($D9-1)*$C9^2)/J16</f>
        <v>0.11588083011453354</v>
      </c>
      <c r="K17">
        <f>(($D5-1)*$C5^2+($D10-1)*$C10^2)/K16</f>
        <v>0.11867800530579496</v>
      </c>
      <c r="L17">
        <f>(($D5-1)*$C5^2+($D11-1)*$C11^2)/L16</f>
        <v>0.11861775159302623</v>
      </c>
    </row>
    <row r="18" spans="1:12" x14ac:dyDescent="0.25">
      <c r="A18" t="s">
        <v>42</v>
      </c>
      <c r="B18" t="s">
        <v>43</v>
      </c>
      <c r="C18">
        <f>C15/C17</f>
        <v>19.516801411045002</v>
      </c>
      <c r="G18">
        <f>G15/G17</f>
        <v>39.860863039452916</v>
      </c>
      <c r="H18">
        <f t="shared" ref="H18:L18" si="0">H15/H17</f>
        <v>34.035153101661486</v>
      </c>
      <c r="I18">
        <f t="shared" si="0"/>
        <v>43.419199830142567</v>
      </c>
      <c r="J18">
        <f t="shared" si="0"/>
        <v>24.369837865614652</v>
      </c>
      <c r="K18">
        <f t="shared" si="0"/>
        <v>35.32346976950047</v>
      </c>
      <c r="L18">
        <f t="shared" si="0"/>
        <v>15.285710539609758</v>
      </c>
    </row>
    <row r="19" spans="1:12" x14ac:dyDescent="0.25">
      <c r="A19" t="s">
        <v>44</v>
      </c>
      <c r="B19" t="s">
        <v>45</v>
      </c>
      <c r="C19">
        <f>_xlfn.F.INV.RT($C2,C14,C16)</f>
        <v>2.1118753172587916</v>
      </c>
      <c r="G19">
        <f>_xlfn.F.INV.RT($C2,G14,G16)</f>
        <v>3.8708671671415589</v>
      </c>
      <c r="H19">
        <f t="shared" ref="H19:L19" si="1">_xlfn.F.INV.RT($C2,H14,H16)</f>
        <v>3.8717287130777387</v>
      </c>
      <c r="I19">
        <f t="shared" si="1"/>
        <v>3.8687124525346563</v>
      </c>
      <c r="J19">
        <f t="shared" si="1"/>
        <v>3.8686328122524172</v>
      </c>
      <c r="K19">
        <f t="shared" si="1"/>
        <v>3.8684749199105202</v>
      </c>
      <c r="L19">
        <f t="shared" si="1"/>
        <v>3.8697058742552728</v>
      </c>
    </row>
    <row r="20" spans="1:12" x14ac:dyDescent="0.25">
      <c r="A20" t="s">
        <v>46</v>
      </c>
      <c r="B20" t="s">
        <v>47</v>
      </c>
      <c r="C20">
        <f>1-_xlfn.F.DIST(C18,C14,C16,TRUE)</f>
        <v>0</v>
      </c>
      <c r="G20">
        <f>1-_xlfn.F.DIST(G18,G14,G16,TRUE)</f>
        <v>9.1642171629047198E-10</v>
      </c>
      <c r="H20">
        <f t="shared" ref="H20:L20" si="2">1-_xlfn.F.DIST(H18,H14,H16,TRUE)</f>
        <v>1.3652526886787086E-8</v>
      </c>
      <c r="I20">
        <f t="shared" si="2"/>
        <v>1.6657364376726491E-10</v>
      </c>
      <c r="J20">
        <f t="shared" si="2"/>
        <v>1.2417954028398626E-6</v>
      </c>
      <c r="K20">
        <f t="shared" si="2"/>
        <v>6.8173924283598808E-9</v>
      </c>
      <c r="L20">
        <f t="shared" si="2"/>
        <v>1.1212038892882692E-4</v>
      </c>
    </row>
    <row r="22" spans="1:12" ht="30" x14ac:dyDescent="0.25">
      <c r="A22" s="5" t="s">
        <v>48</v>
      </c>
      <c r="G22" s="6" t="s">
        <v>51</v>
      </c>
      <c r="H22" s="6" t="s">
        <v>52</v>
      </c>
      <c r="I22" s="6" t="s">
        <v>53</v>
      </c>
      <c r="J22" s="6" t="s">
        <v>62</v>
      </c>
      <c r="K22" s="6" t="s">
        <v>63</v>
      </c>
      <c r="L22" s="6" t="s">
        <v>63</v>
      </c>
    </row>
    <row r="25" spans="1:12" x14ac:dyDescent="0.25">
      <c r="A25" s="8" t="s">
        <v>70</v>
      </c>
      <c r="G25" t="s">
        <v>73</v>
      </c>
      <c r="H25" t="s">
        <v>64</v>
      </c>
      <c r="I25" t="s">
        <v>67</v>
      </c>
      <c r="J25" t="s">
        <v>66</v>
      </c>
      <c r="K25" t="s">
        <v>65</v>
      </c>
    </row>
    <row r="26" spans="1:12" x14ac:dyDescent="0.25">
      <c r="B26" t="s">
        <v>33</v>
      </c>
      <c r="C26">
        <f>($D6*$B6+$D7*$B7+$D8*$B8+$D9*$B9+$D10*$B10+$D11*$B11)/($D6+$D7+$D8+$D9+$D10+$D11)</f>
        <v>0.74546500126694715</v>
      </c>
      <c r="G26">
        <f>($D11*$B11+$D6*$B6)/($D11+$D6)</f>
        <v>0.75901114939564562</v>
      </c>
      <c r="H26">
        <f>($D11*$B11+$D7*$B7)/($D11+$D7)</f>
        <v>0.77047110140829922</v>
      </c>
      <c r="I26">
        <f>($D11*$B11+$D8*$B8)/($D11+$D8)</f>
        <v>0.77197180170367696</v>
      </c>
      <c r="J26">
        <f>($D11*$B11+$D9*$B9)/($D11+$D9)</f>
        <v>0.80860247456406265</v>
      </c>
      <c r="K26">
        <f>($D11*$B11+$D10*$B10)/($D11+$D10)</f>
        <v>0.78427449011641381</v>
      </c>
    </row>
    <row r="27" spans="1:12" x14ac:dyDescent="0.25">
      <c r="B27" t="s">
        <v>35</v>
      </c>
      <c r="C27">
        <v>5</v>
      </c>
      <c r="G27">
        <v>1</v>
      </c>
      <c r="H27">
        <v>1</v>
      </c>
      <c r="I27">
        <v>1</v>
      </c>
      <c r="J27">
        <v>1</v>
      </c>
      <c r="K27">
        <v>1</v>
      </c>
    </row>
    <row r="28" spans="1:12" x14ac:dyDescent="0.25">
      <c r="B28" t="s">
        <v>37</v>
      </c>
      <c r="C28">
        <f>($D6*($B6-C26)^2+$D7*($B7-C26)^2+$D8*($B8-C26)^2+$D9*($B9-C26)^2+$D10*($B10-C26)^2+$D11*($B11-C26)^2)/C27</f>
        <v>0.25544011551362833</v>
      </c>
      <c r="G28">
        <f>($D11*($B11-$G26)^2+$D6*($B6-$G26)^2)/G27</f>
        <v>0.84278229690719364</v>
      </c>
      <c r="H28">
        <f>($D11*($B11-$H26)^2+$D7*($B7-$H26)^2)/H27</f>
        <v>0.66254884965247318</v>
      </c>
      <c r="I28">
        <f>($D11*($B11-$I26)^2+$D8*($B8-$I26)^2)/I27</f>
        <v>0.47570907499346476</v>
      </c>
      <c r="J28">
        <f>($D11*($B11-$J26)^2+$D9*($B9-$J26)^2)/J27</f>
        <v>7.381969560658333E-2</v>
      </c>
      <c r="K28">
        <f>($D11*($B11-$K26)^2+$D10*($B10-$K26)^2)/K27</f>
        <v>0.29712465083523143</v>
      </c>
    </row>
    <row r="29" spans="1:12" x14ac:dyDescent="0.25">
      <c r="B29" t="s">
        <v>39</v>
      </c>
      <c r="C29">
        <f>SUM($D6:$D11)-C27-1</f>
        <v>419</v>
      </c>
      <c r="G29" s="4">
        <f>$D11+$D6-$G27-1</f>
        <v>125</v>
      </c>
      <c r="H29" s="4">
        <f>$D11+$D7-$G27-1</f>
        <v>116</v>
      </c>
      <c r="I29" s="4">
        <f>$D11+$D8-$G27-1</f>
        <v>150</v>
      </c>
      <c r="J29" s="4">
        <f>$D11+$D9-$G27-1</f>
        <v>151</v>
      </c>
      <c r="K29" s="4">
        <f>$D11+$D10-$G27-1</f>
        <v>153</v>
      </c>
    </row>
    <row r="30" spans="1:12" x14ac:dyDescent="0.25">
      <c r="B30" t="s">
        <v>41</v>
      </c>
      <c r="C30">
        <f>(($D6-1)*$C6^2+($D7-1)*$C7^2+($D8-1)*$C8^2+($D9-1)*$C9^2+($D10-1)*$C10^2+($D11-1)*$C11^2)/C29</f>
        <v>8.3179606897073669E-2</v>
      </c>
      <c r="G30">
        <f>(($D11-1)*$C11^2+($D6-1)*$C6^2)/$G29</f>
        <v>0.10159320570546057</v>
      </c>
      <c r="H30">
        <f>(($D11-1)*$C11^2+($D7-1)*$C7^2)/$G29</f>
        <v>7.5428558666105358E-2</v>
      </c>
      <c r="I30">
        <f>(($D11-1)*$C11^2+($D8-1)*$C8^2)/$G29</f>
        <v>8.2591127222455138E-2</v>
      </c>
      <c r="J30">
        <f>(($D11-1)*$C11^2+($D9-1)*$C9^2)/$G29</f>
        <v>9.2402642696899365E-2</v>
      </c>
      <c r="K30">
        <f>(($D11-1)*$C11^2+($D10-1)*$C10^2)/$G29</f>
        <v>0.10199931690814355</v>
      </c>
    </row>
    <row r="31" spans="1:12" x14ac:dyDescent="0.25">
      <c r="B31" t="s">
        <v>43</v>
      </c>
      <c r="C31">
        <f>C28/C30</f>
        <v>3.0709464139414555</v>
      </c>
      <c r="G31">
        <f>G28/G30</f>
        <v>8.2956561027377305</v>
      </c>
      <c r="H31">
        <f t="shared" ref="H31:K31" si="3">H28/H30</f>
        <v>8.7837930535745041</v>
      </c>
      <c r="I31">
        <f t="shared" si="3"/>
        <v>5.7598084805425378</v>
      </c>
      <c r="J31">
        <f t="shared" si="3"/>
        <v>0.79889160582482344</v>
      </c>
      <c r="K31">
        <f t="shared" si="3"/>
        <v>2.9130062812362736</v>
      </c>
    </row>
    <row r="32" spans="1:12" x14ac:dyDescent="0.25">
      <c r="B32" t="s">
        <v>45</v>
      </c>
      <c r="C32">
        <f>_xlfn.F.INV.RT($C2,C27,C29)</f>
        <v>2.2355282390292661</v>
      </c>
      <c r="G32">
        <f>_xlfn.F.INV.RT($C2,G27,G29)</f>
        <v>3.9169322405025397</v>
      </c>
      <c r="H32">
        <f>_xlfn.F.INV.RT($C2,H27,H29)</f>
        <v>3.9228793616170767</v>
      </c>
      <c r="I32">
        <f>_xlfn.F.INV.RT($C2,I27,I29)</f>
        <v>3.9042018766656765</v>
      </c>
      <c r="J32">
        <f>_xlfn.F.INV.RT($C2,J27,J29)</f>
        <v>3.9037813873601266</v>
      </c>
      <c r="K32">
        <f>_xlfn.F.INV.RT($C2,K27,K29)</f>
        <v>3.9029570927425379</v>
      </c>
    </row>
    <row r="33" spans="1:11" x14ac:dyDescent="0.25">
      <c r="B33" t="s">
        <v>47</v>
      </c>
      <c r="C33">
        <f>1-_xlfn.F.DIST(C31,C27,C29,TRUE)</f>
        <v>9.8055690866605261E-3</v>
      </c>
      <c r="G33">
        <f>1-_xlfn.F.DIST(G31,G27,G29,TRUE)</f>
        <v>4.6774861423835024E-3</v>
      </c>
      <c r="H33">
        <f t="shared" ref="H33:K33" si="4">1-_xlfn.F.DIST(H31,H27,H29,TRUE)</f>
        <v>3.6889317592980753E-3</v>
      </c>
      <c r="I33">
        <f t="shared" si="4"/>
        <v>1.7623166445441263E-2</v>
      </c>
      <c r="J33">
        <f t="shared" si="4"/>
        <v>0.37284733463481767</v>
      </c>
      <c r="K33">
        <f t="shared" si="4"/>
        <v>8.9896672103487285E-2</v>
      </c>
    </row>
    <row r="35" spans="1:11" ht="30" x14ac:dyDescent="0.25">
      <c r="A35" s="7" t="s">
        <v>72</v>
      </c>
      <c r="G35" s="6" t="s">
        <v>74</v>
      </c>
      <c r="H35" s="6" t="s">
        <v>68</v>
      </c>
      <c r="I35" s="6" t="s">
        <v>75</v>
      </c>
      <c r="J35" s="6" t="s">
        <v>79</v>
      </c>
      <c r="K35" s="6" t="s">
        <v>76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2F8B-D2D5-42EF-86E9-7EF7EC446184}">
  <dimension ref="A1:K31"/>
  <sheetViews>
    <sheetView topLeftCell="A13" workbookViewId="0">
      <selection activeCell="C29" sqref="C29"/>
    </sheetView>
  </sheetViews>
  <sheetFormatPr defaultRowHeight="15" x14ac:dyDescent="0.25"/>
  <cols>
    <col min="1" max="1" width="58.85546875" bestFit="1" customWidth="1"/>
    <col min="3" max="3" width="10" bestFit="1" customWidth="1"/>
    <col min="4" max="4" width="9.42578125" customWidth="1"/>
    <col min="7" max="10" width="49.85546875" bestFit="1" customWidth="1"/>
    <col min="11" max="11" width="49" customWidth="1"/>
  </cols>
  <sheetData>
    <row r="1" spans="1:11" x14ac:dyDescent="0.25">
      <c r="A1" t="s">
        <v>16</v>
      </c>
    </row>
    <row r="2" spans="1:11" x14ac:dyDescent="0.25">
      <c r="A2" t="s">
        <v>17</v>
      </c>
      <c r="B2" s="3" t="s">
        <v>18</v>
      </c>
      <c r="C2">
        <v>0.05</v>
      </c>
    </row>
    <row r="3" spans="1:11" x14ac:dyDescent="0.25">
      <c r="B3" s="3"/>
    </row>
    <row r="4" spans="1:11" x14ac:dyDescent="0.25">
      <c r="B4" t="s">
        <v>19</v>
      </c>
      <c r="C4" t="s">
        <v>20</v>
      </c>
      <c r="D4" t="s">
        <v>13</v>
      </c>
    </row>
    <row r="5" spans="1:11" x14ac:dyDescent="0.25">
      <c r="A5" t="s">
        <v>21</v>
      </c>
      <c r="B5" s="1">
        <f>'CME density'!J5</f>
        <v>1</v>
      </c>
      <c r="C5" s="1">
        <f>'CME density'!K5*SQRT('ANOVA (ΔP=-0.1 M)'!D5)</f>
        <v>0.3363756285075129</v>
      </c>
      <c r="D5">
        <f>'CME density'!L5</f>
        <v>151</v>
      </c>
    </row>
    <row r="6" spans="1:11" x14ac:dyDescent="0.25">
      <c r="A6" t="s">
        <v>49</v>
      </c>
      <c r="B6" s="1">
        <f>'CME density'!J6</f>
        <v>0.32331849127752699</v>
      </c>
      <c r="C6" s="1">
        <f>'CME density'!K6*SQRT('ANOVA (ΔP=-0.1 M)'!D6)</f>
        <v>0.20039000956488348</v>
      </c>
      <c r="D6">
        <f>'CME density'!L6</f>
        <v>125</v>
      </c>
    </row>
    <row r="7" spans="1:11" x14ac:dyDescent="0.25">
      <c r="A7" t="s">
        <v>50</v>
      </c>
      <c r="B7" s="1">
        <f>'CME density'!J7</f>
        <v>0.20662535212060501</v>
      </c>
      <c r="C7" s="1">
        <f>'CME density'!K7*SQRT('ANOVA (ΔP=-0.1 M)'!D7)</f>
        <v>0.42153522141747057</v>
      </c>
      <c r="D7">
        <f>'CME density'!L7</f>
        <v>78</v>
      </c>
    </row>
    <row r="8" spans="1:11" x14ac:dyDescent="0.25">
      <c r="G8" t="s">
        <v>27</v>
      </c>
      <c r="H8" t="s">
        <v>28</v>
      </c>
    </row>
    <row r="9" spans="1:11" x14ac:dyDescent="0.25">
      <c r="A9" t="s">
        <v>32</v>
      </c>
      <c r="B9" t="s">
        <v>33</v>
      </c>
      <c r="C9">
        <f>($D5*$B5+$D6*$B6+$D7*$B7)/($D5+$D6+$D7)</f>
        <v>0.58624742620084191</v>
      </c>
      <c r="G9">
        <f>($D5*$B5+$D6*$B6)/($D5+$D6)</f>
        <v>0.69353192539743058</v>
      </c>
      <c r="H9">
        <f>($D5*$B5+$D7*$B7)/($D5+$D7)</f>
        <v>0.7297675871851842</v>
      </c>
    </row>
    <row r="10" spans="1:11" x14ac:dyDescent="0.25">
      <c r="A10" t="s">
        <v>34</v>
      </c>
      <c r="B10" t="s">
        <v>35</v>
      </c>
      <c r="C10">
        <v>5</v>
      </c>
      <c r="G10">
        <v>1</v>
      </c>
      <c r="H10">
        <v>1</v>
      </c>
    </row>
    <row r="11" spans="1:11" x14ac:dyDescent="0.25">
      <c r="A11" t="s">
        <v>36</v>
      </c>
      <c r="B11" t="s">
        <v>37</v>
      </c>
      <c r="C11">
        <f>($D5*($B5-C9)^2+$D6*($B6-C9)^2+$D7*($B7-C9)^2)/C10</f>
        <v>9.14642616713774</v>
      </c>
      <c r="G11">
        <f>($D5*($B5-G9)^2+$D6*($B6-G9)^2)/G10</f>
        <v>31.314573143698038</v>
      </c>
      <c r="H11">
        <f>($D5*($B5-H9)^2+$D7*($B7-H9)^2)/H10</f>
        <v>32.373727349745614</v>
      </c>
    </row>
    <row r="12" spans="1:11" x14ac:dyDescent="0.25">
      <c r="A12" t="s">
        <v>38</v>
      </c>
      <c r="B12" t="s">
        <v>39</v>
      </c>
      <c r="C12" s="4">
        <f>SUM($D5:$D7)-C10-1</f>
        <v>348</v>
      </c>
      <c r="G12" s="4">
        <f>$D5+$D6-G10-1</f>
        <v>274</v>
      </c>
      <c r="H12" s="4">
        <f>$D5+$D7-H10-1</f>
        <v>227</v>
      </c>
      <c r="I12" s="4"/>
      <c r="J12" s="4"/>
      <c r="K12" s="4"/>
    </row>
    <row r="13" spans="1:11" x14ac:dyDescent="0.25">
      <c r="A13" t="s">
        <v>40</v>
      </c>
      <c r="B13" t="s">
        <v>41</v>
      </c>
      <c r="C13">
        <f>(($D5-1)*$C5^2+($D6-1)*$C6^2+($D7-1)*$C7^2)/C12</f>
        <v>0.10239634326657657</v>
      </c>
      <c r="G13">
        <f>(($D5-1)*$C5^2+($D6-1)*$C6^2)/G12</f>
        <v>8.0115503116120423E-2</v>
      </c>
      <c r="H13">
        <f>(($D5-1)*$C5^2+($D7-1)*$C7^2)/H12</f>
        <v>0.1350421326917414</v>
      </c>
    </row>
    <row r="14" spans="1:11" x14ac:dyDescent="0.25">
      <c r="A14" t="s">
        <v>42</v>
      </c>
      <c r="B14" t="s">
        <v>43</v>
      </c>
      <c r="C14">
        <f>C11/C13</f>
        <v>89.323757815512209</v>
      </c>
      <c r="G14">
        <f>G11/G13</f>
        <v>390.86783363652228</v>
      </c>
      <c r="H14">
        <f t="shared" ref="H14" si="0">H11/H13</f>
        <v>239.73056930050583</v>
      </c>
    </row>
    <row r="15" spans="1:11" x14ac:dyDescent="0.25">
      <c r="A15" t="s">
        <v>44</v>
      </c>
      <c r="B15" t="s">
        <v>45</v>
      </c>
      <c r="C15">
        <f>_xlfn.F.INV.RT($C2,C10,C12)</f>
        <v>2.2399262101782176</v>
      </c>
      <c r="G15">
        <f>_xlfn.F.INV.RT($C2,G10,G12)</f>
        <v>3.8756207328284376</v>
      </c>
      <c r="H15">
        <f>_xlfn.F.INV.RT($C2,H10,H12)</f>
        <v>3.8827501002889337</v>
      </c>
    </row>
    <row r="16" spans="1:11" x14ac:dyDescent="0.25">
      <c r="A16" t="s">
        <v>46</v>
      </c>
      <c r="B16" t="s">
        <v>47</v>
      </c>
      <c r="C16">
        <f>1-_xlfn.F.DIST(C14,C10,C12,TRUE)</f>
        <v>0</v>
      </c>
      <c r="G16">
        <f>1-_xlfn.F.DIST(G14,G10,G12,TRUE)</f>
        <v>0</v>
      </c>
      <c r="H16">
        <f t="shared" ref="H16" si="1">1-_xlfn.F.DIST(H14,H10,H12,TRUE)</f>
        <v>0</v>
      </c>
    </row>
    <row r="18" spans="1:11" ht="30" x14ac:dyDescent="0.25">
      <c r="A18" s="5" t="s">
        <v>48</v>
      </c>
      <c r="G18" s="6" t="s">
        <v>51</v>
      </c>
      <c r="H18" s="6" t="s">
        <v>52</v>
      </c>
      <c r="I18" s="6"/>
      <c r="J18" s="6"/>
      <c r="K18" s="6"/>
    </row>
    <row r="21" spans="1:11" x14ac:dyDescent="0.25">
      <c r="A21" s="8" t="s">
        <v>70</v>
      </c>
    </row>
    <row r="22" spans="1:11" x14ac:dyDescent="0.25">
      <c r="B22" t="s">
        <v>33</v>
      </c>
      <c r="C22">
        <f>($D6*$B6+$D7*$B7)/($D6+$D7)</f>
        <v>0.27848073337486728</v>
      </c>
    </row>
    <row r="23" spans="1:11" x14ac:dyDescent="0.25">
      <c r="B23" t="s">
        <v>35</v>
      </c>
      <c r="C23">
        <v>2</v>
      </c>
    </row>
    <row r="24" spans="1:11" x14ac:dyDescent="0.25">
      <c r="B24" t="s">
        <v>37</v>
      </c>
      <c r="C24">
        <f>($D6*($B6-C22)^2+$D7*($B7-C22)^2)/C23</f>
        <v>0.3270161701512152</v>
      </c>
    </row>
    <row r="25" spans="1:11" x14ac:dyDescent="0.25">
      <c r="B25" t="s">
        <v>39</v>
      </c>
      <c r="C25">
        <f>SUM($D6:$D7)-C23-1</f>
        <v>200</v>
      </c>
      <c r="G25" s="4"/>
      <c r="H25" s="4"/>
      <c r="I25" s="4"/>
      <c r="J25" s="4"/>
      <c r="K25" s="4"/>
    </row>
    <row r="26" spans="1:11" x14ac:dyDescent="0.25">
      <c r="B26" t="s">
        <v>41</v>
      </c>
      <c r="C26">
        <f>(($D6-1)*$C6^2+($D7-1)*$C7^2)/C25</f>
        <v>9.3308214693474986E-2</v>
      </c>
    </row>
    <row r="27" spans="1:11" x14ac:dyDescent="0.25">
      <c r="B27" t="s">
        <v>43</v>
      </c>
      <c r="C27">
        <f>C24/C26</f>
        <v>3.504687890830295</v>
      </c>
    </row>
    <row r="28" spans="1:11" x14ac:dyDescent="0.25">
      <c r="B28" t="s">
        <v>45</v>
      </c>
      <c r="C28">
        <f>_xlfn.F.INV.RT($C2,C23,C25)</f>
        <v>3.041055791125248</v>
      </c>
    </row>
    <row r="29" spans="1:11" x14ac:dyDescent="0.25">
      <c r="B29" t="s">
        <v>47</v>
      </c>
      <c r="C29">
        <f>1-_xlfn.F.DIST(C27,C23,C25,TRUE)</f>
        <v>3.1915230682210249E-2</v>
      </c>
    </row>
    <row r="31" spans="1:11" x14ac:dyDescent="0.25">
      <c r="A31" s="7" t="s">
        <v>72</v>
      </c>
      <c r="G31" s="6"/>
      <c r="H31" s="6"/>
      <c r="I31" s="6"/>
      <c r="J31" s="6"/>
      <c r="K31" s="6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CME density</vt:lpstr>
      <vt:lpstr>Volume</vt:lpstr>
      <vt:lpstr>ANOVA (ΔP=-0.025 M)</vt:lpstr>
      <vt:lpstr>ANOVA (ΔP=-0.05 M)</vt:lpstr>
      <vt:lpstr>ANOVA (ΔP=-0.1 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Berro, Julien</dc:creator>
  <cp:lastModifiedBy>Berro, Julien</cp:lastModifiedBy>
  <dcterms:created xsi:type="dcterms:W3CDTF">2015-06-05T18:17:20Z</dcterms:created>
  <dcterms:modified xsi:type="dcterms:W3CDTF">2020-05-20T01:23:35Z</dcterms:modified>
</cp:coreProperties>
</file>