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jb246\Documents\Papiers\Manuscripts\Manuscripts in progress\In progress\Membrane tension (Joel+Yuan)\eLife\Revisions\Data\"/>
    </mc:Choice>
  </mc:AlternateContent>
  <xr:revisionPtr revIDLastSave="0" documentId="13_ncr:1_{EF33CBFE-E37B-4BBE-8D4A-A2FB6C174C63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CME density" sheetId="1" r:id="rId1"/>
    <sheet name="ANOVA (WT)" sheetId="3" r:id="rId2"/>
    <sheet name="ANOVA (pil1Δ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4" l="1"/>
  <c r="H26" i="4"/>
  <c r="G26" i="4"/>
  <c r="G27" i="4" s="1"/>
  <c r="H25" i="4"/>
  <c r="H23" i="4"/>
  <c r="H29" i="4"/>
  <c r="G25" i="4"/>
  <c r="G23" i="4"/>
  <c r="G29" i="4"/>
  <c r="C28" i="3"/>
  <c r="C27" i="3"/>
  <c r="C26" i="3"/>
  <c r="C24" i="3"/>
  <c r="C27" i="4"/>
  <c r="C26" i="4"/>
  <c r="C25" i="4"/>
  <c r="C23" i="4"/>
  <c r="C14" i="4"/>
  <c r="C13" i="4"/>
  <c r="C12" i="4"/>
  <c r="C10" i="4"/>
  <c r="B6" i="4"/>
  <c r="D6" i="4"/>
  <c r="C6" i="4" s="1"/>
  <c r="B7" i="4"/>
  <c r="D7" i="4"/>
  <c r="C7" i="4" s="1"/>
  <c r="B8" i="4"/>
  <c r="D8" i="4"/>
  <c r="C8" i="4" s="1"/>
  <c r="C5" i="4"/>
  <c r="D5" i="4"/>
  <c r="B5" i="4"/>
  <c r="I26" i="3"/>
  <c r="I28" i="3"/>
  <c r="I27" i="3"/>
  <c r="I30" i="3" s="1"/>
  <c r="I24" i="3"/>
  <c r="H26" i="3"/>
  <c r="H28" i="3"/>
  <c r="H27" i="3"/>
  <c r="H30" i="3" s="1"/>
  <c r="H24" i="3"/>
  <c r="H28" i="4" l="1"/>
  <c r="H30" i="4" s="1"/>
  <c r="G28" i="4"/>
  <c r="G30" i="4" s="1"/>
  <c r="H10" i="4"/>
  <c r="H12" i="4" s="1"/>
  <c r="G10" i="4"/>
  <c r="G12" i="4" s="1"/>
  <c r="I10" i="4"/>
  <c r="I12" i="4" s="1"/>
  <c r="G13" i="4"/>
  <c r="G16" i="4" s="1"/>
  <c r="C29" i="4"/>
  <c r="H13" i="4"/>
  <c r="H16" i="4" s="1"/>
  <c r="C16" i="4"/>
  <c r="I13" i="4"/>
  <c r="I16" i="4" s="1"/>
  <c r="I29" i="3"/>
  <c r="I31" i="3" s="1"/>
  <c r="H29" i="3"/>
  <c r="H31" i="3"/>
  <c r="G14" i="4" l="1"/>
  <c r="G15" i="4" s="1"/>
  <c r="G17" i="4" s="1"/>
  <c r="C28" i="4"/>
  <c r="C30" i="4" s="1"/>
  <c r="H14" i="4"/>
  <c r="H15" i="4" s="1"/>
  <c r="H17" i="4" s="1"/>
  <c r="C15" i="4"/>
  <c r="C17" i="4" s="1"/>
  <c r="I14" i="4"/>
  <c r="I15" i="4" s="1"/>
  <c r="I17" i="4" s="1"/>
  <c r="B6" i="3" l="1"/>
  <c r="D6" i="3"/>
  <c r="B7" i="3"/>
  <c r="D7" i="3"/>
  <c r="B8" i="3"/>
  <c r="D8" i="3"/>
  <c r="B9" i="3"/>
  <c r="D9" i="3"/>
  <c r="D5" i="3"/>
  <c r="B5" i="3"/>
  <c r="C11" i="3" s="1"/>
  <c r="G27" i="3" l="1"/>
  <c r="G30" i="3" s="1"/>
  <c r="G24" i="3"/>
  <c r="G11" i="3"/>
  <c r="G13" i="3" s="1"/>
  <c r="C8" i="3"/>
  <c r="C13" i="3"/>
  <c r="C14" i="3"/>
  <c r="C17" i="3" s="1"/>
  <c r="C9" i="3"/>
  <c r="C30" i="3"/>
  <c r="C7" i="3"/>
  <c r="C5" i="3"/>
  <c r="C6" i="3"/>
  <c r="H14" i="3"/>
  <c r="H17" i="3" s="1"/>
  <c r="G14" i="3"/>
  <c r="G17" i="3" s="1"/>
  <c r="H11" i="3"/>
  <c r="H13" i="3" s="1"/>
  <c r="I11" i="3"/>
  <c r="I13" i="3" s="1"/>
  <c r="I14" i="3"/>
  <c r="I17" i="3" s="1"/>
  <c r="J11" i="3"/>
  <c r="J13" i="3" s="1"/>
  <c r="J14" i="3"/>
  <c r="J17" i="3" s="1"/>
  <c r="G26" i="3" l="1"/>
  <c r="G28" i="3"/>
  <c r="G29" i="3" s="1"/>
  <c r="G31" i="3" s="1"/>
  <c r="C29" i="3"/>
  <c r="C31" i="3" s="1"/>
  <c r="C15" i="3"/>
  <c r="C16" i="3" s="1"/>
  <c r="C18" i="3" s="1"/>
  <c r="H15" i="3"/>
  <c r="H16" i="3" s="1"/>
  <c r="H18" i="3" s="1"/>
  <c r="G15" i="3"/>
  <c r="G16" i="3" s="1"/>
  <c r="G18" i="3" s="1"/>
  <c r="I15" i="3"/>
  <c r="I16" i="3" s="1"/>
  <c r="I18" i="3" s="1"/>
  <c r="J15" i="3"/>
  <c r="J16" i="3" s="1"/>
  <c r="J18" i="3" s="1"/>
</calcChain>
</file>

<file path=xl/sharedStrings.xml><?xml version="1.0" encoding="utf-8"?>
<sst xmlns="http://schemas.openxmlformats.org/spreadsheetml/2006/main" count="115" uniqueCount="60">
  <si>
    <t>0 min after shock</t>
  </si>
  <si>
    <t>2 min after shock</t>
  </si>
  <si>
    <t>4 min after shock</t>
  </si>
  <si>
    <t>6 min after shock</t>
  </si>
  <si>
    <t>SEM</t>
  </si>
  <si>
    <t>N</t>
  </si>
  <si>
    <t>pil1Δ</t>
  </si>
  <si>
    <t>Density of CME events (#/um)</t>
  </si>
  <si>
    <t>Walled cells</t>
  </si>
  <si>
    <t>ΔP=-1.2 M</t>
  </si>
  <si>
    <t>WT</t>
  </si>
  <si>
    <t>Steady state in 1.2 M</t>
  </si>
  <si>
    <t>One -way ANOVA</t>
  </si>
  <si>
    <t>Significance level</t>
  </si>
  <si>
    <r>
      <t>α</t>
    </r>
    <r>
      <rPr>
        <sz val="11"/>
        <color theme="1"/>
        <rFont val="Calibri"/>
        <family val="2"/>
        <scheme val="minor"/>
      </rPr>
      <t xml:space="preserve"> =</t>
    </r>
  </si>
  <si>
    <t>mean</t>
  </si>
  <si>
    <t>stdev</t>
  </si>
  <si>
    <t>ANOVA between steady-state and 0 min</t>
  </si>
  <si>
    <t>ANOVA between steady-state and 2 min</t>
  </si>
  <si>
    <t>ANOVA between steady-state and 4 min</t>
  </si>
  <si>
    <t>ANOVA between steady-state and 6 min</t>
  </si>
  <si>
    <t>Overall mean</t>
  </si>
  <si>
    <t>m=</t>
  </si>
  <si>
    <t>Between-group degrees of freedom</t>
  </si>
  <si>
    <t>dfb=</t>
  </si>
  <si>
    <t>Between-group mean square value</t>
  </si>
  <si>
    <t>MSb=</t>
  </si>
  <si>
    <t>Within-group degrees of freedom</t>
  </si>
  <si>
    <t>dfw=</t>
  </si>
  <si>
    <t>Within-group mean square value</t>
  </si>
  <si>
    <t>MSw=</t>
  </si>
  <si>
    <t>F-ratio</t>
  </si>
  <si>
    <t>F=</t>
  </si>
  <si>
    <t>Critical value</t>
  </si>
  <si>
    <t>Fcrit=</t>
  </si>
  <si>
    <t>p-value</t>
  </si>
  <si>
    <t>p=</t>
  </si>
  <si>
    <t>There is a statistically significant difference between conditions</t>
  </si>
  <si>
    <t>The difference between steady-state and 4 min after shock is not statistically significant</t>
  </si>
  <si>
    <t>0 min after ΔP=-1.2 M</t>
  </si>
  <si>
    <t>2 min after ΔP=-1.2 M</t>
  </si>
  <si>
    <t>4 min after ΔP=-1.2 M</t>
  </si>
  <si>
    <t>6 min after ΔP=-1.2 M</t>
  </si>
  <si>
    <t>The difference between steady-state and 0 min after shock is statistically significant</t>
  </si>
  <si>
    <t>The difference between steady-state and 2 min after shock is statistically significant</t>
  </si>
  <si>
    <t>The difference between steady-state and 6 min after shock is statistically significant</t>
  </si>
  <si>
    <t>All conditions after the shock</t>
  </si>
  <si>
    <t>There is a stastistically significant difference between different time points after the shock</t>
  </si>
  <si>
    <t>ANOVA between 0 min and 6 min</t>
  </si>
  <si>
    <t>ANOVA between 2 min and 6 min</t>
  </si>
  <si>
    <t>ANOVA between 4 min and 6 min</t>
  </si>
  <si>
    <t>The difference between 0 min and 6 min after shock is not statistically significant</t>
  </si>
  <si>
    <t>The difference between 2 min and 6 min after shock is not statistically significant</t>
  </si>
  <si>
    <t>The difference between 4 min and 6 min after shock is not statistically significant</t>
  </si>
  <si>
    <t>The difference between steady-state and 4 min after shock is statistically significant</t>
  </si>
  <si>
    <t>ANOVA between 0 min and 4 min</t>
  </si>
  <si>
    <t>ANOVA between 2 min and 4 min</t>
  </si>
  <si>
    <t>The difference between 0 min and 4 min after shock is statistically significant</t>
  </si>
  <si>
    <t>The difference between 2 min and 4 min after shock is not statistically significant</t>
  </si>
  <si>
    <t>Steady-state in 1.2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</si>
</sst>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0" fontId="0" fillId="0" borderId="0" xfId="0" applyNumberFormat="1"/>
    <xf numFmtId="0" fontId="0" fillId="0" borderId="0" xfId="0" applyNumberFormat="1"/>
    <xf numFmtId="0" fontId="1" fillId="0" borderId="0" xfId="0" applyFont="1"/>
    <xf numFmtId="0" fontId="0" fillId="0" borderId="0" xfId="0" quotePrefix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2" fillId="0" borderId="0" xfId="0" applyFont="1"/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/>
  </sheetViews>
  <sheetFormatPr defaultRowHeight="15" x14ac:dyDescent="0.25"/>
  <cols>
    <col min="1" max="1" width="21" bestFit="1" customWidth="1"/>
    <col min="2" max="2" width="27.85546875" bestFit="1" customWidth="1"/>
    <col min="6" max="6" width="27.140625" bestFit="1" customWidth="1"/>
    <col min="10" max="10" width="24.5703125" bestFit="1" customWidth="1"/>
  </cols>
  <sheetData>
    <row r="1" spans="1:13" x14ac:dyDescent="0.25">
      <c r="A1" t="s">
        <v>8</v>
      </c>
    </row>
    <row r="2" spans="1:13" x14ac:dyDescent="0.25">
      <c r="B2" t="s">
        <v>10</v>
      </c>
      <c r="F2" s="3" t="s">
        <v>6</v>
      </c>
    </row>
    <row r="3" spans="1:13" x14ac:dyDescent="0.25">
      <c r="B3" t="s">
        <v>9</v>
      </c>
      <c r="F3" t="s">
        <v>9</v>
      </c>
    </row>
    <row r="4" spans="1:13" x14ac:dyDescent="0.25">
      <c r="B4" t="s">
        <v>7</v>
      </c>
      <c r="C4" t="s">
        <v>4</v>
      </c>
      <c r="D4" t="s">
        <v>5</v>
      </c>
      <c r="F4" t="s">
        <v>7</v>
      </c>
      <c r="G4" t="s">
        <v>4</v>
      </c>
      <c r="H4" t="s">
        <v>5</v>
      </c>
    </row>
    <row r="5" spans="1:13" s="2" customFormat="1" x14ac:dyDescent="0.25">
      <c r="A5" s="2" t="s">
        <v>11</v>
      </c>
      <c r="B5" s="2">
        <v>1.22288832848864</v>
      </c>
      <c r="C5" s="2">
        <v>3.7883152932715602E-2</v>
      </c>
      <c r="D5" s="2">
        <v>62</v>
      </c>
      <c r="F5" s="2">
        <v>1.64135958565087</v>
      </c>
      <c r="G5" s="2">
        <v>3.7430745143052203E-2</v>
      </c>
      <c r="H5" s="2">
        <v>119</v>
      </c>
    </row>
    <row r="6" spans="1:13" s="2" customFormat="1" x14ac:dyDescent="0.25">
      <c r="A6" s="2" t="s">
        <v>0</v>
      </c>
      <c r="B6" s="2">
        <v>0.80489415646267304</v>
      </c>
      <c r="C6" s="2">
        <v>2.5564319765383099E-2</v>
      </c>
      <c r="D6" s="2">
        <v>82</v>
      </c>
      <c r="F6" s="2">
        <v>0.89222968505380096</v>
      </c>
      <c r="G6" s="2">
        <v>2.39240447876094E-2</v>
      </c>
      <c r="H6" s="2">
        <v>69</v>
      </c>
    </row>
    <row r="7" spans="1:13" s="2" customFormat="1" x14ac:dyDescent="0.25">
      <c r="A7" s="2" t="s">
        <v>1</v>
      </c>
      <c r="B7" s="2">
        <v>1.0262034476945101</v>
      </c>
      <c r="C7" s="2">
        <v>2.8740588587529099E-2</v>
      </c>
      <c r="D7" s="2">
        <v>77</v>
      </c>
      <c r="F7" s="2">
        <v>1.0937928438070501</v>
      </c>
      <c r="G7" s="2">
        <v>4.3826245963741801E-2</v>
      </c>
      <c r="H7" s="2">
        <v>44</v>
      </c>
    </row>
    <row r="8" spans="1:13" s="2" customFormat="1" x14ac:dyDescent="0.25">
      <c r="A8" s="2" t="s">
        <v>2</v>
      </c>
      <c r="B8" s="2">
        <v>1.1307445216268299</v>
      </c>
      <c r="C8" s="2">
        <v>2.8639463967693301E-2</v>
      </c>
      <c r="D8" s="2">
        <v>67</v>
      </c>
      <c r="F8" s="2">
        <v>1.02443980514602</v>
      </c>
      <c r="G8" s="2">
        <v>3.5533619969014101E-2</v>
      </c>
      <c r="H8" s="2">
        <v>67</v>
      </c>
    </row>
    <row r="9" spans="1:13" s="2" customFormat="1" x14ac:dyDescent="0.25">
      <c r="A9" s="2" t="s">
        <v>3</v>
      </c>
      <c r="B9" s="2">
        <v>1.0581413125571599</v>
      </c>
      <c r="C9" s="2">
        <v>3.27772342576369E-2</v>
      </c>
      <c r="D9" s="2">
        <v>66</v>
      </c>
    </row>
    <row r="10" spans="1:13" x14ac:dyDescent="0.25">
      <c r="B10" s="1"/>
      <c r="C10" s="1"/>
      <c r="D10" s="2"/>
      <c r="F10" s="1"/>
      <c r="G10" s="1"/>
      <c r="H10" s="2"/>
      <c r="I10" s="1"/>
      <c r="J10" s="1"/>
      <c r="K10" s="1"/>
      <c r="L10" s="2"/>
      <c r="M10" s="1"/>
    </row>
    <row r="11" spans="1:13" x14ac:dyDescent="0.25">
      <c r="B11" s="1"/>
      <c r="C11" s="1"/>
      <c r="F11" s="1"/>
      <c r="G11" s="1"/>
      <c r="J11" s="1"/>
      <c r="K11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453D-60FF-40D1-9F38-4953BBE8F553}">
  <dimension ref="A1:K34"/>
  <sheetViews>
    <sheetView workbookViewId="0"/>
  </sheetViews>
  <sheetFormatPr defaultRowHeight="15" x14ac:dyDescent="0.25"/>
  <cols>
    <col min="1" max="1" width="58.85546875" bestFit="1" customWidth="1"/>
    <col min="3" max="3" width="10" bestFit="1" customWidth="1"/>
    <col min="4" max="4" width="9.42578125" customWidth="1"/>
    <col min="7" max="10" width="49.85546875" bestFit="1" customWidth="1"/>
    <col min="11" max="11" width="49" customWidth="1"/>
  </cols>
  <sheetData>
    <row r="1" spans="1:11" x14ac:dyDescent="0.25">
      <c r="A1" t="s">
        <v>12</v>
      </c>
    </row>
    <row r="2" spans="1:11" x14ac:dyDescent="0.25">
      <c r="A2" t="s">
        <v>13</v>
      </c>
      <c r="B2" s="3" t="s">
        <v>14</v>
      </c>
      <c r="C2">
        <v>0.05</v>
      </c>
    </row>
    <row r="3" spans="1:11" x14ac:dyDescent="0.25">
      <c r="B3" s="3"/>
    </row>
    <row r="4" spans="1:11" x14ac:dyDescent="0.25">
      <c r="B4" t="s">
        <v>15</v>
      </c>
      <c r="C4" t="s">
        <v>16</v>
      </c>
      <c r="D4" t="s">
        <v>5</v>
      </c>
    </row>
    <row r="5" spans="1:11" x14ac:dyDescent="0.25">
      <c r="A5" t="s">
        <v>59</v>
      </c>
      <c r="B5" s="2">
        <f>'CME density'!B5</f>
        <v>1.22288832848864</v>
      </c>
      <c r="C5" s="2">
        <f>'CME density'!C5*SQRT('ANOVA (WT)'!D5)</f>
        <v>0.29829224448459629</v>
      </c>
      <c r="D5">
        <f>'CME density'!D5</f>
        <v>62</v>
      </c>
    </row>
    <row r="6" spans="1:11" x14ac:dyDescent="0.25">
      <c r="A6" t="s">
        <v>39</v>
      </c>
      <c r="B6" s="2">
        <f>'CME density'!B6</f>
        <v>0.80489415646267304</v>
      </c>
      <c r="C6" s="2">
        <f>'CME density'!C6*SQRT('ANOVA (WT)'!D6)</f>
        <v>0.23149476127004273</v>
      </c>
      <c r="D6">
        <f>'CME density'!D6</f>
        <v>82</v>
      </c>
    </row>
    <row r="7" spans="1:11" x14ac:dyDescent="0.25">
      <c r="A7" t="s">
        <v>40</v>
      </c>
      <c r="B7" s="2">
        <f>'CME density'!B7</f>
        <v>1.0262034476945101</v>
      </c>
      <c r="C7" s="2">
        <f>'CME density'!C7*SQRT('ANOVA (WT)'!D7)</f>
        <v>0.25219764132825634</v>
      </c>
      <c r="D7">
        <f>'CME density'!D7</f>
        <v>77</v>
      </c>
    </row>
    <row r="8" spans="1:11" x14ac:dyDescent="0.25">
      <c r="A8" t="s">
        <v>41</v>
      </c>
      <c r="B8" s="2">
        <f>'CME density'!B8</f>
        <v>1.1307445216268299</v>
      </c>
      <c r="C8" s="2">
        <f>'CME density'!C8*SQRT('ANOVA (WT)'!D8)</f>
        <v>0.23442411577289954</v>
      </c>
      <c r="D8">
        <f>'CME density'!D8</f>
        <v>67</v>
      </c>
    </row>
    <row r="9" spans="1:11" x14ac:dyDescent="0.25">
      <c r="A9" t="s">
        <v>42</v>
      </c>
      <c r="B9" s="2">
        <f>'CME density'!B9</f>
        <v>1.0581413125571599</v>
      </c>
      <c r="C9" s="2">
        <f>'CME density'!C9*SQRT('ANOVA (WT)'!D9)</f>
        <v>0.26628350990679167</v>
      </c>
      <c r="D9">
        <f>'CME density'!D9</f>
        <v>66</v>
      </c>
    </row>
    <row r="10" spans="1:11" x14ac:dyDescent="0.25">
      <c r="G10" t="s">
        <v>17</v>
      </c>
      <c r="H10" t="s">
        <v>18</v>
      </c>
      <c r="I10" t="s">
        <v>19</v>
      </c>
      <c r="J10" t="s">
        <v>20</v>
      </c>
    </row>
    <row r="11" spans="1:11" x14ac:dyDescent="0.25">
      <c r="A11" t="s">
        <v>21</v>
      </c>
      <c r="B11" t="s">
        <v>22</v>
      </c>
      <c r="C11">
        <f>($D5*$B5+$D6*$B6+$D7*$B7+$D8*$B8+$D9*$B9)/($D5+$D6+$D7+$D8+$D9)</f>
        <v>1.0351278877019274</v>
      </c>
      <c r="G11">
        <f>($D5*$B5+$D6*$B6)/($D5+$D6)</f>
        <v>0.98486386941829762</v>
      </c>
      <c r="H11">
        <f>($D5*$B5+$D7*$B7)/($D5+$D7)</f>
        <v>1.1139333945235466</v>
      </c>
      <c r="I11">
        <f>($D5*$B5+$D8*$B8)/($D5+$D8)</f>
        <v>1.1750306923666145</v>
      </c>
      <c r="J11">
        <f>($D5*$B5+$D9*$B9)/($D5+$D9)</f>
        <v>1.1379406483989707</v>
      </c>
    </row>
    <row r="12" spans="1:11" x14ac:dyDescent="0.25">
      <c r="A12" t="s">
        <v>23</v>
      </c>
      <c r="B12" t="s">
        <v>24</v>
      </c>
      <c r="C12">
        <v>4</v>
      </c>
      <c r="G12">
        <v>1</v>
      </c>
      <c r="H12">
        <v>1</v>
      </c>
      <c r="I12">
        <v>1</v>
      </c>
      <c r="J12">
        <v>1</v>
      </c>
    </row>
    <row r="13" spans="1:11" x14ac:dyDescent="0.25">
      <c r="A13" t="s">
        <v>25</v>
      </c>
      <c r="B13" t="s">
        <v>26</v>
      </c>
      <c r="C13">
        <f>($D5*($B5-C11)^2+$D6*($B6-C11)^2+$D7*($B7-C11)^2+$D8*($B8-C11)^2+$D9*($B9-C11)^2)/C12</f>
        <v>1.7965013711837841</v>
      </c>
      <c r="G13">
        <f>($D5*($B5-G11)^2+$D6*($B6-G11)^2)/G12</f>
        <v>6.168555874844257</v>
      </c>
      <c r="H13">
        <f>($D5*($B5-H11)^2+$D7*($B7-H11)^2)/H12</f>
        <v>1.328646868329117</v>
      </c>
      <c r="I13">
        <f>($D5*($B5-I11)^2+$D8*($B8-I11)^2)/I12</f>
        <v>0.27340665634082317</v>
      </c>
      <c r="J13">
        <f>($D5*($B5-J11)^2+$D9*($B9-J11)^2)/J12</f>
        <v>0.86768236191465287</v>
      </c>
    </row>
    <row r="14" spans="1:11" x14ac:dyDescent="0.25">
      <c r="A14" t="s">
        <v>27</v>
      </c>
      <c r="B14" t="s">
        <v>28</v>
      </c>
      <c r="C14" s="4">
        <f>SUM($D5:$D9)-C12-1</f>
        <v>349</v>
      </c>
      <c r="G14" s="4">
        <f>$D5+$D6-G12-1</f>
        <v>142</v>
      </c>
      <c r="H14" s="4">
        <f>$D5+$D7-H12-1</f>
        <v>137</v>
      </c>
      <c r="I14" s="4">
        <f>$D5+$D8-I12-1</f>
        <v>127</v>
      </c>
      <c r="J14" s="4">
        <f>$D5+$D9-J12-1</f>
        <v>126</v>
      </c>
      <c r="K14" s="4"/>
    </row>
    <row r="15" spans="1:11" x14ac:dyDescent="0.25">
      <c r="A15" t="s">
        <v>29</v>
      </c>
      <c r="B15" t="s">
        <v>30</v>
      </c>
      <c r="C15">
        <f>(($D5-1)*$C5^2+($D6-1)*$C6^2+($D7-1)*$C7^2+($D8-1)*$C8^2+($D9-1)*$C9^2)/C14</f>
        <v>6.5439209780565277E-2</v>
      </c>
      <c r="G15">
        <f>(($D5-1)*$C5^2+($D6-1)*$C6^2)/G14</f>
        <v>6.8791900242482731E-2</v>
      </c>
      <c r="H15">
        <f>(($D5-1)*$C5^2+($D7-1)*$C7^2)/H14</f>
        <v>7.4901835565371319E-2</v>
      </c>
      <c r="I15">
        <f>(($D5-1)*$C5^2+($D8-1)*$C8^2)/I14</f>
        <v>7.1296708740070311E-2</v>
      </c>
      <c r="J15">
        <f>(($D5-1)*$C5^2+($D9-1)*$C9^2)/J14</f>
        <v>7.965573847172519E-2</v>
      </c>
    </row>
    <row r="16" spans="1:11" x14ac:dyDescent="0.25">
      <c r="A16" t="s">
        <v>31</v>
      </c>
      <c r="B16" t="s">
        <v>32</v>
      </c>
      <c r="C16">
        <f>C13/C15</f>
        <v>27.452980823086364</v>
      </c>
      <c r="G16">
        <f>G13/G15</f>
        <v>89.669799105721452</v>
      </c>
      <c r="H16">
        <f t="shared" ref="H16:J16" si="0">H13/H15</f>
        <v>17.738508786871147</v>
      </c>
      <c r="I16">
        <f t="shared" si="0"/>
        <v>3.8347724764910871</v>
      </c>
      <c r="J16">
        <f t="shared" si="0"/>
        <v>10.892904623847629</v>
      </c>
    </row>
    <row r="17" spans="1:11" x14ac:dyDescent="0.25">
      <c r="A17" t="s">
        <v>33</v>
      </c>
      <c r="B17" t="s">
        <v>34</v>
      </c>
      <c r="C17">
        <f>_xlfn.F.INV.RT($C2,C12,C14)</f>
        <v>2.3975296284252008</v>
      </c>
      <c r="G17">
        <f>_xlfn.F.INV.RT($C2,G12,G14)</f>
        <v>3.9077817045477383</v>
      </c>
      <c r="H17">
        <f>_xlfn.F.INV.RT($C2,H12,H14)</f>
        <v>3.9102341994105765</v>
      </c>
      <c r="I17">
        <f>_xlfn.F.INV.RT($C2,I12,I14)</f>
        <v>3.9157267509216194</v>
      </c>
      <c r="J17">
        <f>_xlfn.F.INV.RT($C2,J12,J14)</f>
        <v>3.916324643543144</v>
      </c>
    </row>
    <row r="18" spans="1:11" x14ac:dyDescent="0.25">
      <c r="A18" t="s">
        <v>35</v>
      </c>
      <c r="B18" t="s">
        <v>36</v>
      </c>
      <c r="C18">
        <f>1-_xlfn.F.DIST(C16,C12,C14,TRUE)</f>
        <v>0</v>
      </c>
      <c r="G18">
        <f>1-_xlfn.F.DIST(G16,G12,G14,TRUE)</f>
        <v>0</v>
      </c>
      <c r="H18">
        <f t="shared" ref="H18:J18" si="1">1-_xlfn.F.DIST(H16,H12,H14,TRUE)</f>
        <v>4.5657628350737056E-5</v>
      </c>
      <c r="I18">
        <f t="shared" si="1"/>
        <v>5.2391946530836231E-2</v>
      </c>
      <c r="J18">
        <f t="shared" si="1"/>
        <v>1.25575790171506E-3</v>
      </c>
    </row>
    <row r="20" spans="1:11" ht="30" x14ac:dyDescent="0.25">
      <c r="A20" s="5" t="s">
        <v>37</v>
      </c>
      <c r="G20" s="6" t="s">
        <v>43</v>
      </c>
      <c r="H20" s="6" t="s">
        <v>44</v>
      </c>
      <c r="I20" s="6" t="s">
        <v>38</v>
      </c>
      <c r="J20" s="6" t="s">
        <v>45</v>
      </c>
      <c r="K20" s="6"/>
    </row>
    <row r="23" spans="1:11" x14ac:dyDescent="0.25">
      <c r="A23" s="7" t="s">
        <v>46</v>
      </c>
      <c r="G23" t="s">
        <v>48</v>
      </c>
      <c r="H23" t="s">
        <v>49</v>
      </c>
      <c r="I23" t="s">
        <v>50</v>
      </c>
    </row>
    <row r="24" spans="1:11" x14ac:dyDescent="0.25">
      <c r="B24" t="s">
        <v>22</v>
      </c>
      <c r="C24">
        <f>($D6*$B6+$D7*$B7+$D8*$B8+$D9*$B9)/($D6+$D7+$D8+$D9)</f>
        <v>0.9952609447951597</v>
      </c>
      <c r="G24">
        <f>($D9*$B9+$D6*$B6)/($D9+$D6)</f>
        <v>0.91782869904534969</v>
      </c>
      <c r="H24">
        <f>($D9*$B9+$D7*$B7)/($D9+$D7)</f>
        <v>1.0409440007080406</v>
      </c>
      <c r="I24">
        <f>($D9*$B9+$D8*$B8)/($D9+$D8)</f>
        <v>1.0947158614869938</v>
      </c>
    </row>
    <row r="25" spans="1:11" x14ac:dyDescent="0.25">
      <c r="B25" t="s">
        <v>24</v>
      </c>
      <c r="C25">
        <v>3</v>
      </c>
      <c r="G25">
        <v>1</v>
      </c>
      <c r="H25">
        <v>1</v>
      </c>
      <c r="I25">
        <v>1</v>
      </c>
    </row>
    <row r="26" spans="1:11" x14ac:dyDescent="0.25">
      <c r="B26" t="s">
        <v>26</v>
      </c>
      <c r="C26">
        <f>($D6*($B6-C24)^2+$D7*($B7-C24)^2+$D8*($B8-C24)^2+$D9*($B9-C24)^2)/C25</f>
        <v>1.5120538583651557</v>
      </c>
      <c r="G26">
        <f>($D9*($B9-$G24)^2+$D6*($B6-$G24)^2)/G25</f>
        <v>2.3452288421793552</v>
      </c>
      <c r="H26">
        <f>($D9*($B9-$H24)^2+$D7*($B7-$H24)^2)/H25</f>
        <v>3.6250197841308889E-2</v>
      </c>
      <c r="I26">
        <f>($D9*($B9-$I24)^2+$D8*($B8-$I24)^2)/I25</f>
        <v>0.17525835509038529</v>
      </c>
    </row>
    <row r="27" spans="1:11" x14ac:dyDescent="0.25">
      <c r="B27" t="s">
        <v>28</v>
      </c>
      <c r="C27">
        <f>SUM($D6:$D9)-C25-1</f>
        <v>288</v>
      </c>
      <c r="G27" s="4">
        <f>$D9+$D6-$G25-1</f>
        <v>146</v>
      </c>
      <c r="H27" s="4">
        <f>$D9+$D7-$G25-1</f>
        <v>141</v>
      </c>
      <c r="I27" s="4">
        <f>$D9+$D8-$G25-1</f>
        <v>131</v>
      </c>
      <c r="J27" s="4"/>
    </row>
    <row r="28" spans="1:11" x14ac:dyDescent="0.25">
      <c r="B28" t="s">
        <v>30</v>
      </c>
      <c r="C28">
        <f>(($D6-1)*$C6^2+($D7-1)*$C7^2+($D8-1)*$C8^2+($D9-1)*$C9^2)/C27</f>
        <v>6.045350751082685E-2</v>
      </c>
      <c r="G28">
        <f>(($D9-1)*$C9^2+($D6-1)*$C6^2)/$G27</f>
        <v>6.1299484803230317E-2</v>
      </c>
      <c r="H28">
        <f>(($D9-1)*$C9^2+($D7-1)*$C7^2)/$G27</f>
        <v>6.4676893282842124E-2</v>
      </c>
      <c r="I28">
        <f>(($D9-1)*$C9^2+($D8-1)*$C8^2)/$G27</f>
        <v>5.6410664087863084E-2</v>
      </c>
      <c r="K28" s="4"/>
    </row>
    <row r="29" spans="1:11" x14ac:dyDescent="0.25">
      <c r="B29" t="s">
        <v>32</v>
      </c>
      <c r="C29">
        <f>C26/C28</f>
        <v>25.011846634281</v>
      </c>
      <c r="G29">
        <f>G26/G28</f>
        <v>38.258540829624849</v>
      </c>
      <c r="H29">
        <f t="shared" ref="H29:I29" si="2">H26/H28</f>
        <v>0.56048143318791044</v>
      </c>
      <c r="I29">
        <f t="shared" si="2"/>
        <v>3.1068302053209229</v>
      </c>
    </row>
    <row r="30" spans="1:11" x14ac:dyDescent="0.25">
      <c r="B30" t="s">
        <v>34</v>
      </c>
      <c r="C30">
        <f>_xlfn.F.INV.RT($C2,$C25,$C27)</f>
        <v>2.6359510544698219</v>
      </c>
      <c r="G30">
        <f>_xlfn.F.INV.RT($C2,G25,G27)</f>
        <v>3.9059421464318564</v>
      </c>
      <c r="H30">
        <f t="shared" ref="H30:I30" si="3">_xlfn.F.INV.RT($C2,H25,H27)</f>
        <v>3.9082581107536498</v>
      </c>
      <c r="I30">
        <f t="shared" si="3"/>
        <v>3.9134277180963539</v>
      </c>
    </row>
    <row r="31" spans="1:11" x14ac:dyDescent="0.25">
      <c r="B31" t="s">
        <v>36</v>
      </c>
      <c r="C31">
        <f>1-_xlfn.F.DIST(C29,C25,C27,TRUE)</f>
        <v>2.0650148258027912E-14</v>
      </c>
      <c r="G31">
        <f>1-_xlfn.F.DIST(G29,G25,G27,TRUE)</f>
        <v>5.9067475355334409E-9</v>
      </c>
      <c r="H31">
        <f t="shared" ref="H31:I31" si="4">1-_xlfn.F.DIST(H29,H25,H27,TRUE)</f>
        <v>0.45531335880651491</v>
      </c>
      <c r="I31">
        <f t="shared" si="4"/>
        <v>8.0296654449231508E-2</v>
      </c>
    </row>
    <row r="33" spans="1:11" ht="30" x14ac:dyDescent="0.25">
      <c r="A33" s="8" t="s">
        <v>47</v>
      </c>
      <c r="G33" s="6" t="s">
        <v>51</v>
      </c>
      <c r="H33" s="6" t="s">
        <v>52</v>
      </c>
      <c r="I33" s="6" t="s">
        <v>53</v>
      </c>
      <c r="J33" s="6"/>
    </row>
    <row r="34" spans="1:11" x14ac:dyDescent="0.25">
      <c r="K34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C942A-8198-49C8-8FE4-A6D78D38E61F}">
  <dimension ref="A1:K33"/>
  <sheetViews>
    <sheetView workbookViewId="0"/>
  </sheetViews>
  <sheetFormatPr defaultRowHeight="15" x14ac:dyDescent="0.25"/>
  <cols>
    <col min="1" max="1" width="58.85546875" bestFit="1" customWidth="1"/>
    <col min="3" max="3" width="10" bestFit="1" customWidth="1"/>
    <col min="4" max="4" width="9.42578125" customWidth="1"/>
    <col min="7" max="10" width="49.85546875" bestFit="1" customWidth="1"/>
    <col min="11" max="11" width="49" customWidth="1"/>
  </cols>
  <sheetData>
    <row r="1" spans="1:11" x14ac:dyDescent="0.25">
      <c r="A1" t="s">
        <v>12</v>
      </c>
    </row>
    <row r="2" spans="1:11" x14ac:dyDescent="0.25">
      <c r="A2" t="s">
        <v>13</v>
      </c>
      <c r="B2" s="3" t="s">
        <v>14</v>
      </c>
      <c r="C2">
        <v>0.05</v>
      </c>
    </row>
    <row r="3" spans="1:11" x14ac:dyDescent="0.25">
      <c r="B3" s="3"/>
    </row>
    <row r="4" spans="1:11" x14ac:dyDescent="0.25">
      <c r="B4" t="s">
        <v>15</v>
      </c>
      <c r="C4" t="s">
        <v>16</v>
      </c>
      <c r="D4" t="s">
        <v>5</v>
      </c>
    </row>
    <row r="5" spans="1:11" x14ac:dyDescent="0.25">
      <c r="A5" t="s">
        <v>59</v>
      </c>
      <c r="B5" s="2">
        <f>'CME density'!F5</f>
        <v>1.64135958565087</v>
      </c>
      <c r="C5" s="2">
        <f>'CME density'!G5*SQRT('ANOVA (pil1Δ)'!D5)</f>
        <v>0.40832122300185547</v>
      </c>
      <c r="D5">
        <f>'CME density'!H5</f>
        <v>119</v>
      </c>
    </row>
    <row r="6" spans="1:11" x14ac:dyDescent="0.25">
      <c r="A6" t="s">
        <v>39</v>
      </c>
      <c r="B6" s="2">
        <f>'CME density'!F6</f>
        <v>0.89222968505380096</v>
      </c>
      <c r="C6" s="2">
        <f>'CME density'!G6*SQRT('ANOVA (pil1Δ)'!D6)</f>
        <v>0.19872804133027702</v>
      </c>
      <c r="D6">
        <f>'CME density'!H6</f>
        <v>69</v>
      </c>
    </row>
    <row r="7" spans="1:11" x14ac:dyDescent="0.25">
      <c r="A7" t="s">
        <v>40</v>
      </c>
      <c r="B7" s="2">
        <f>'CME density'!F7</f>
        <v>1.0937928438070501</v>
      </c>
      <c r="C7" s="2">
        <f>'CME density'!G7*SQRT('ANOVA (pil1Δ)'!D7)</f>
        <v>0.29071042766311866</v>
      </c>
      <c r="D7">
        <f>'CME density'!H7</f>
        <v>44</v>
      </c>
    </row>
    <row r="8" spans="1:11" x14ac:dyDescent="0.25">
      <c r="A8" t="s">
        <v>41</v>
      </c>
      <c r="B8" s="2">
        <f>'CME density'!F8</f>
        <v>1.02443980514602</v>
      </c>
      <c r="C8" s="2">
        <f>'CME density'!G8*SQRT('ANOVA (pil1Δ)'!D8)</f>
        <v>0.29085521470803183</v>
      </c>
      <c r="D8">
        <f>'CME density'!H8</f>
        <v>67</v>
      </c>
    </row>
    <row r="9" spans="1:11" x14ac:dyDescent="0.25">
      <c r="G9" t="s">
        <v>17</v>
      </c>
      <c r="H9" t="s">
        <v>18</v>
      </c>
      <c r="I9" t="s">
        <v>19</v>
      </c>
    </row>
    <row r="10" spans="1:11" x14ac:dyDescent="0.25">
      <c r="A10" t="s">
        <v>21</v>
      </c>
      <c r="B10" t="s">
        <v>22</v>
      </c>
      <c r="C10">
        <f>($D5*$B5+$D6*$B6+$D7*$B7+$D8*$B8)/($D5+$D6+$D7+$D8)</f>
        <v>1.2496655218510346</v>
      </c>
      <c r="G10">
        <f>($D5*$B5+$D6*$B6)/($D5+$D6)</f>
        <v>1.3664129731976904</v>
      </c>
      <c r="H10">
        <f>($D5*$B5+$D7*$B7)/($D5+$D7)</f>
        <v>1.4935501584046855</v>
      </c>
      <c r="I10">
        <f>($D5*$B5+$D8*$B8)/($D5+$D8)</f>
        <v>1.4191357937485853</v>
      </c>
    </row>
    <row r="11" spans="1:11" x14ac:dyDescent="0.25">
      <c r="A11" t="s">
        <v>23</v>
      </c>
      <c r="B11" t="s">
        <v>24</v>
      </c>
      <c r="C11">
        <v>3</v>
      </c>
      <c r="G11">
        <v>1</v>
      </c>
      <c r="H11">
        <v>1</v>
      </c>
      <c r="I11">
        <v>1</v>
      </c>
    </row>
    <row r="12" spans="1:11" x14ac:dyDescent="0.25">
      <c r="A12" t="s">
        <v>25</v>
      </c>
      <c r="B12" t="s">
        <v>26</v>
      </c>
      <c r="C12">
        <f>($D5*($B5-C10)^2+$D6*($B6-C10)^2+$D7*($B7-C10)^2+$D8*($B8-C10)^2)/C11</f>
        <v>10.513557055469036</v>
      </c>
      <c r="G12">
        <f>($D5*($B5-G10)^2+$D6*($B6-G10)^2)/G11</f>
        <v>24.510516686329606</v>
      </c>
      <c r="H12">
        <f>($D5*($B5-H10)^2+$D7*($B7-H10)^2)/H11</f>
        <v>9.6313276524283324</v>
      </c>
      <c r="I12">
        <f>($D5*($B5-I10)^2+$D8*($B8-I10)^2)/I11</f>
        <v>16.314216097874244</v>
      </c>
    </row>
    <row r="13" spans="1:11" x14ac:dyDescent="0.25">
      <c r="A13" t="s">
        <v>27</v>
      </c>
      <c r="B13" t="s">
        <v>28</v>
      </c>
      <c r="C13" s="4">
        <f>SUM($D5:$D8)-C11-1</f>
        <v>295</v>
      </c>
      <c r="G13" s="4">
        <f>$D5+$D6-G11-1</f>
        <v>186</v>
      </c>
      <c r="H13" s="4">
        <f>$D5+$D7-H11-1</f>
        <v>161</v>
      </c>
      <c r="I13" s="4">
        <f>$D5+$D8-I11-1</f>
        <v>184</v>
      </c>
      <c r="J13" s="4"/>
      <c r="K13" s="4"/>
    </row>
    <row r="14" spans="1:11" x14ac:dyDescent="0.25">
      <c r="A14" t="s">
        <v>29</v>
      </c>
      <c r="B14" t="s">
        <v>30</v>
      </c>
      <c r="C14">
        <f>(($D5-1)*$C5^2+($D6-1)*$C6^2+($D7-1)*$C7^2+($D8-1)*$C8^2)/C13</f>
        <v>0.10703943218757186</v>
      </c>
      <c r="G14">
        <f>(($D5-1)*$C5^2+($D6-1)*$C6^2)/G13</f>
        <v>0.12021078944132312</v>
      </c>
      <c r="H14">
        <f>(($D5-1)*$C5^2+($D7-1)*$C7^2)/H13</f>
        <v>0.1447685333197479</v>
      </c>
      <c r="I14">
        <f>(($D5-1)*$C5^2+($D8-1)*$C8^2)/I13</f>
        <v>0.1372667390600473</v>
      </c>
    </row>
    <row r="15" spans="1:11" x14ac:dyDescent="0.25">
      <c r="A15" t="s">
        <v>31</v>
      </c>
      <c r="B15" t="s">
        <v>32</v>
      </c>
      <c r="C15">
        <f>C12/C14</f>
        <v>98.221345541570841</v>
      </c>
      <c r="G15">
        <f>G12/G14</f>
        <v>203.89614609671619</v>
      </c>
      <c r="H15">
        <f t="shared" ref="H15:I15" si="0">H12/H14</f>
        <v>66.529151270433715</v>
      </c>
      <c r="I15">
        <f t="shared" si="0"/>
        <v>118.85046741539911</v>
      </c>
    </row>
    <row r="16" spans="1:11" x14ac:dyDescent="0.25">
      <c r="A16" t="s">
        <v>33</v>
      </c>
      <c r="B16" t="s">
        <v>34</v>
      </c>
      <c r="C16">
        <f>_xlfn.F.INV.RT($C2,C11,C13)</f>
        <v>2.6352092835543139</v>
      </c>
      <c r="G16">
        <f>_xlfn.F.INV.RT($C2,G11,G13)</f>
        <v>3.8919402897804338</v>
      </c>
      <c r="H16">
        <f>_xlfn.F.INV.RT($C2,H11,H13)</f>
        <v>3.8998669992483386</v>
      </c>
      <c r="I16">
        <f>_xlfn.F.INV.RT($C2,I11,I13)</f>
        <v>3.8924943838036232</v>
      </c>
    </row>
    <row r="17" spans="1:11" x14ac:dyDescent="0.25">
      <c r="A17" t="s">
        <v>35</v>
      </c>
      <c r="B17" t="s">
        <v>36</v>
      </c>
      <c r="C17">
        <f>1-_xlfn.F.DIST(C15,C11,C13,TRUE)</f>
        <v>0</v>
      </c>
      <c r="G17">
        <f>1-_xlfn.F.DIST(G15,G11,G13,TRUE)</f>
        <v>0</v>
      </c>
      <c r="H17">
        <f t="shared" ref="H17:I17" si="1">1-_xlfn.F.DIST(H15,H11,H13,TRUE)</f>
        <v>9.2592600253738055E-14</v>
      </c>
      <c r="I17">
        <f t="shared" si="1"/>
        <v>0</v>
      </c>
    </row>
    <row r="19" spans="1:11" ht="30" x14ac:dyDescent="0.25">
      <c r="A19" s="5" t="s">
        <v>37</v>
      </c>
      <c r="G19" s="6" t="s">
        <v>43</v>
      </c>
      <c r="H19" s="6" t="s">
        <v>44</v>
      </c>
      <c r="I19" s="6" t="s">
        <v>54</v>
      </c>
      <c r="J19" s="6"/>
      <c r="K19" s="6"/>
    </row>
    <row r="22" spans="1:11" x14ac:dyDescent="0.25">
      <c r="A22" s="7" t="s">
        <v>46</v>
      </c>
      <c r="G22" t="s">
        <v>55</v>
      </c>
      <c r="H22" t="s">
        <v>56</v>
      </c>
    </row>
    <row r="23" spans="1:11" x14ac:dyDescent="0.25">
      <c r="B23" t="s">
        <v>22</v>
      </c>
      <c r="C23">
        <f>($D6*$B6+$D7*$B7+$D8*$B8)/($D6+$D7+$D8)</f>
        <v>0.9907122241166989</v>
      </c>
      <c r="G23">
        <f>($D6*$B6+$D8*$B8)/($D6+$D8)</f>
        <v>0.95736261186393823</v>
      </c>
      <c r="H23">
        <f>($D7*$B7+$D8*$B8)/($D7+$D8)</f>
        <v>1.0519310997503923</v>
      </c>
    </row>
    <row r="24" spans="1:11" x14ac:dyDescent="0.25">
      <c r="B24" t="s">
        <v>24</v>
      </c>
      <c r="C24">
        <v>2</v>
      </c>
      <c r="G24">
        <v>1</v>
      </c>
      <c r="H24">
        <v>1</v>
      </c>
    </row>
    <row r="25" spans="1:11" x14ac:dyDescent="0.25">
      <c r="B25" t="s">
        <v>26</v>
      </c>
      <c r="C25">
        <f>($D6*($B6-C23)^2+$D7*($B7-C23)^2+$D8*($B8-C23)^2)/C24</f>
        <v>0.60648038937592053</v>
      </c>
      <c r="G25">
        <f>($D6*($B6-G23)^2+$D8*($B8-G23)^2)/G24</f>
        <v>0.59417501321129151</v>
      </c>
      <c r="H25">
        <f>($D7*($B7-H23)^2+$D8*($B8-H23)^2)/H24</f>
        <v>0.12774252277509979</v>
      </c>
    </row>
    <row r="26" spans="1:11" x14ac:dyDescent="0.25">
      <c r="B26" t="s">
        <v>28</v>
      </c>
      <c r="C26">
        <f>SUM($D6:$D8)-C24-1</f>
        <v>177</v>
      </c>
      <c r="G26">
        <f>$D6+$D8-G24-1</f>
        <v>134</v>
      </c>
      <c r="H26">
        <f>$D7+$D8-H24-1</f>
        <v>109</v>
      </c>
      <c r="I26" s="4"/>
      <c r="J26" s="4"/>
    </row>
    <row r="27" spans="1:11" x14ac:dyDescent="0.25">
      <c r="B27" t="s">
        <v>30</v>
      </c>
      <c r="C27">
        <f>(($D6-1)*$C6^2+($D7-1)*$C7^2+($D8-1)*$C8^2)/C26</f>
        <v>6.7248239543465801E-2</v>
      </c>
      <c r="G27">
        <f>(($D6-1)*$C6^2+($D8-1)*$C8^2)/G26</f>
        <v>6.1708198737718607E-2</v>
      </c>
      <c r="H27">
        <f>(($D7-1)*$C7^2+($D8-1)*$C8^2)/H26</f>
        <v>8.4563538158234891E-2</v>
      </c>
      <c r="K27" s="4"/>
    </row>
    <row r="28" spans="1:11" x14ac:dyDescent="0.25">
      <c r="B28" t="s">
        <v>32</v>
      </c>
      <c r="C28">
        <f>C25/C27</f>
        <v>9.0185318380553703</v>
      </c>
      <c r="G28">
        <f>G25/G27</f>
        <v>9.6287855644068117</v>
      </c>
      <c r="H28">
        <f>H25/H27</f>
        <v>1.5106099574034921</v>
      </c>
    </row>
    <row r="29" spans="1:11" x14ac:dyDescent="0.25">
      <c r="B29" t="s">
        <v>34</v>
      </c>
      <c r="C29">
        <f>_xlfn.F.INV.RT($C2,$C24,$C26)</f>
        <v>3.0470121387695417</v>
      </c>
      <c r="G29">
        <f>_xlfn.F.INV.RT($C2,$C24,$C26)</f>
        <v>3.0470121387695417</v>
      </c>
      <c r="H29">
        <f>_xlfn.F.INV.RT($C2,$C24,$C26)</f>
        <v>3.0470121387695417</v>
      </c>
    </row>
    <row r="30" spans="1:11" x14ac:dyDescent="0.25">
      <c r="B30" t="s">
        <v>36</v>
      </c>
      <c r="C30">
        <f>1-_xlfn.F.DIST(C28,C24,C26,TRUE)</f>
        <v>1.8632292968745467E-4</v>
      </c>
      <c r="G30">
        <f>1-_xlfn.F.DIST(G28,G24,G26,TRUE)</f>
        <v>2.3368460034673966E-3</v>
      </c>
      <c r="H30">
        <f>1-_xlfn.F.DIST(H28,H24,H26,TRUE)</f>
        <v>0.22169277764902051</v>
      </c>
    </row>
    <row r="32" spans="1:11" ht="30" x14ac:dyDescent="0.25">
      <c r="A32" s="8" t="s">
        <v>47</v>
      </c>
      <c r="G32" s="6" t="s">
        <v>57</v>
      </c>
      <c r="H32" s="6" t="s">
        <v>58</v>
      </c>
      <c r="I32" s="6"/>
      <c r="J32" s="6"/>
    </row>
    <row r="33" spans="11:11" x14ac:dyDescent="0.25">
      <c r="K33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CME density</vt:lpstr>
      <vt:lpstr>ANOVA (WT)</vt:lpstr>
      <vt:lpstr>ANOVA (pil1Δ)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Berro, Julien</dc:creator>
  <cp:lastModifiedBy>Berro, Julien</cp:lastModifiedBy>
  <dcterms:created xsi:type="dcterms:W3CDTF">2015-06-05T18:17:20Z</dcterms:created>
  <dcterms:modified xsi:type="dcterms:W3CDTF">2020-05-20T01:31:26Z</dcterms:modified>
</cp:coreProperties>
</file>